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1"/>
  </bookViews>
  <sheets>
    <sheet name="Flujo" sheetId="1" r:id="rId1"/>
    <sheet name="Formato" sheetId="2" r:id="rId2"/>
    <sheet name="Fichas tecnicas" sheetId="3" r:id="rId3"/>
    <sheet name="Hoja2" sheetId="4" r:id="rId4"/>
    <sheet name="Hoja3" sheetId="5" r:id="rId5"/>
  </sheets>
  <externalReferences>
    <externalReference r:id="rId8"/>
  </externalReferences>
  <definedNames>
    <definedName name="agua">'Fichas tecnicas'!$D$11</definedName>
    <definedName name="_xlnm.Print_Area" localSheetId="1">'Formato'!$A$1:$K$31</definedName>
    <definedName name="combustibles">'Fichas tecnicas'!$D$9</definedName>
    <definedName name="diascartera">'Fichas tecnicas'!$B$21</definedName>
    <definedName name="distribucion">'Fichas tecnicas'!$D$12</definedName>
    <definedName name="energia">'Fichas tecnicas'!$D$10</definedName>
    <definedName name="mantenimiento">'Fichas tecnicas'!$D$8</definedName>
    <definedName name="_xlnm.Print_Titles" localSheetId="1">'Formato'!$A:$A,'Formato'!$1:$2</definedName>
  </definedNames>
  <calcPr fullCalcOnLoad="1"/>
</workbook>
</file>

<file path=xl/sharedStrings.xml><?xml version="1.0" encoding="utf-8"?>
<sst xmlns="http://schemas.openxmlformats.org/spreadsheetml/2006/main" count="189" uniqueCount="92">
  <si>
    <t xml:space="preserve">FLUJO DE CAJA - EMPRESAS INDUSTRIALES </t>
  </si>
  <si>
    <t>CONCEPTO</t>
  </si>
  <si>
    <t>MARZO</t>
  </si>
  <si>
    <t>ABRIL</t>
  </si>
  <si>
    <t>MAYO</t>
  </si>
  <si>
    <t>REAL</t>
  </si>
  <si>
    <t>JUNIO</t>
  </si>
  <si>
    <t>JULIO</t>
  </si>
  <si>
    <t>AGOSTO</t>
  </si>
  <si>
    <t xml:space="preserve">SEPTIEMBRE </t>
  </si>
  <si>
    <t xml:space="preserve">OCTUBRE </t>
  </si>
  <si>
    <t>NOVIEMBRE</t>
  </si>
  <si>
    <t>DICIEMBRE</t>
  </si>
  <si>
    <t>PROYECTADO</t>
  </si>
  <si>
    <t>VENTAS</t>
  </si>
  <si>
    <t>INVENTARIO P. TERMINADO</t>
  </si>
  <si>
    <t>INVENTARIOS MAT. PRIMAS</t>
  </si>
  <si>
    <t>Cacao</t>
  </si>
  <si>
    <t>grasa</t>
  </si>
  <si>
    <t>azucar</t>
  </si>
  <si>
    <t>Leche</t>
  </si>
  <si>
    <t>PRODUCCION</t>
  </si>
  <si>
    <t>INVENTARIOS DE EMPAQUES</t>
  </si>
  <si>
    <t>Etiquetas</t>
  </si>
  <si>
    <t>Envolturas</t>
  </si>
  <si>
    <t>Carton</t>
  </si>
  <si>
    <t>Bolsas</t>
  </si>
  <si>
    <t>COMPRAS MAT. PRIMA</t>
  </si>
  <si>
    <t>COMPRAS EMPAQUES</t>
  </si>
  <si>
    <t>FABRICA DE CHOCOLATES</t>
  </si>
  <si>
    <t>PRECIOS</t>
  </si>
  <si>
    <t>Producto terminado</t>
  </si>
  <si>
    <t>Grasa</t>
  </si>
  <si>
    <t>Azucar</t>
  </si>
  <si>
    <t>Mantenimiento</t>
  </si>
  <si>
    <t>Combustibles</t>
  </si>
  <si>
    <t>Energia</t>
  </si>
  <si>
    <t>INGRESOS</t>
  </si>
  <si>
    <t>Ingresos por ventas</t>
  </si>
  <si>
    <t>Otros Ingresos</t>
  </si>
  <si>
    <t>TOTAL INGRESOS</t>
  </si>
  <si>
    <t>FLUJO (Miles de pesos)</t>
  </si>
  <si>
    <t>EGRESOS</t>
  </si>
  <si>
    <t>Compra Cacao</t>
  </si>
  <si>
    <t>Compra Grasa</t>
  </si>
  <si>
    <t>Compras Azucar</t>
  </si>
  <si>
    <t>Compras Leche</t>
  </si>
  <si>
    <t>SUB TOTAL MAT. PRIMAS</t>
  </si>
  <si>
    <t>COMPRA EMPAQUES</t>
  </si>
  <si>
    <t>Agua</t>
  </si>
  <si>
    <t>Personal de planta</t>
  </si>
  <si>
    <t>SUBTOTAL OTROS PRODUCC</t>
  </si>
  <si>
    <t>TOTAL EGRESOS PRODUCCION</t>
  </si>
  <si>
    <t>Distribución</t>
  </si>
  <si>
    <t>Personal de ventas</t>
  </si>
  <si>
    <t>Publicidad</t>
  </si>
  <si>
    <t>Admon. De ventas</t>
  </si>
  <si>
    <t>TOTAL EGRESOS POR VENTAS</t>
  </si>
  <si>
    <t>ADMINISTRACION</t>
  </si>
  <si>
    <t>Personal Administrativo</t>
  </si>
  <si>
    <t>Servicios Publicos</t>
  </si>
  <si>
    <t>Papeleria y Utiles</t>
  </si>
  <si>
    <t>Otros Gastos Administrativos</t>
  </si>
  <si>
    <t>TOTAL EGRESOS ADMON</t>
  </si>
  <si>
    <t>TOTAL EGRESOS</t>
  </si>
  <si>
    <t>SALDO NETO DE CAJA</t>
  </si>
  <si>
    <t>SALDO ACUMULADO DE CAJA</t>
  </si>
  <si>
    <t>Mano de Obra (Hora)</t>
  </si>
  <si>
    <t xml:space="preserve">FLUJO </t>
  </si>
  <si>
    <t>PRODUCTO</t>
  </si>
  <si>
    <t>Materia Prima</t>
  </si>
  <si>
    <t>Cantidad/Kg</t>
  </si>
  <si>
    <t>Unidad</t>
  </si>
  <si>
    <t>Precio Unitario</t>
  </si>
  <si>
    <t>Kilo</t>
  </si>
  <si>
    <t>Empaques</t>
  </si>
  <si>
    <t>$</t>
  </si>
  <si>
    <t>Mano de obra directa</t>
  </si>
  <si>
    <t>Horas</t>
  </si>
  <si>
    <t>Precio  de Venta</t>
  </si>
  <si>
    <t>POLITICAS</t>
  </si>
  <si>
    <t>Rubro</t>
  </si>
  <si>
    <t>Politica</t>
  </si>
  <si>
    <t>Cartera</t>
  </si>
  <si>
    <t>Dias</t>
  </si>
  <si>
    <t>Inventario M.P.</t>
  </si>
  <si>
    <t>Proveedores</t>
  </si>
  <si>
    <t>Inventario P.T.</t>
  </si>
  <si>
    <t>Arrendamientos</t>
  </si>
  <si>
    <t>Distribucion</t>
  </si>
  <si>
    <t>Personal de Ventas</t>
  </si>
  <si>
    <t>2.000.000 + $100/Kg vendido</t>
  </si>
</sst>
</file>

<file path=xl/styles.xml><?xml version="1.0" encoding="utf-8"?>
<styleSheet xmlns="http://schemas.openxmlformats.org/spreadsheetml/2006/main">
  <numFmts count="1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1" tint="0.4999800026416778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>
        <color rgb="FF00B05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rgb="FF00B050"/>
      </left>
      <right style="thin">
        <color rgb="FF00B050"/>
      </right>
      <top style="thin">
        <color rgb="FF00B050"/>
      </top>
      <bottom style="thin">
        <color rgb="FF00B050"/>
      </bottom>
    </border>
    <border>
      <left>
        <color indexed="63"/>
      </left>
      <right style="thin">
        <color rgb="FF00B050"/>
      </right>
      <top style="thin">
        <color rgb="FF00B050"/>
      </top>
      <bottom style="thin">
        <color rgb="FF00B05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4" fillId="29" borderId="1" applyNumberFormat="0" applyAlignment="0" applyProtection="0"/>
    <xf numFmtId="0" fontId="2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7" fillId="21" borderId="5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23" fillId="0" borderId="8" applyNumberFormat="0" applyFill="0" applyAlignment="0" applyProtection="0"/>
    <xf numFmtId="0" fontId="33" fillId="0" borderId="9" applyNumberFormat="0" applyFill="0" applyAlignment="0" applyProtection="0"/>
  </cellStyleXfs>
  <cellXfs count="73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3" fontId="0" fillId="3" borderId="0" xfId="0" applyNumberFormat="1" applyFill="1" applyAlignment="1">
      <alignment/>
    </xf>
    <xf numFmtId="3" fontId="0" fillId="0" borderId="10" xfId="0" applyNumberFormat="1" applyBorder="1" applyAlignment="1">
      <alignment/>
    </xf>
    <xf numFmtId="3" fontId="0" fillId="10" borderId="11" xfId="0" applyNumberFormat="1" applyFill="1" applyBorder="1" applyAlignment="1">
      <alignment/>
    </xf>
    <xf numFmtId="3" fontId="0" fillId="3" borderId="11" xfId="0" applyNumberFormat="1" applyFill="1" applyBorder="1" applyAlignment="1">
      <alignment/>
    </xf>
    <xf numFmtId="3" fontId="0" fillId="2" borderId="12" xfId="0" applyNumberFormat="1" applyFill="1" applyBorder="1" applyAlignment="1">
      <alignment/>
    </xf>
    <xf numFmtId="3" fontId="0" fillId="2" borderId="13" xfId="0" applyNumberFormat="1" applyFill="1" applyBorder="1" applyAlignment="1">
      <alignment/>
    </xf>
    <xf numFmtId="3" fontId="0" fillId="2" borderId="14" xfId="0" applyNumberFormat="1" applyFill="1" applyBorder="1" applyAlignment="1">
      <alignment/>
    </xf>
    <xf numFmtId="3" fontId="0" fillId="2" borderId="0" xfId="0" applyNumberFormat="1" applyFill="1" applyBorder="1" applyAlignment="1">
      <alignment/>
    </xf>
    <xf numFmtId="3" fontId="0" fillId="2" borderId="15" xfId="0" applyNumberFormat="1" applyFill="1" applyBorder="1" applyAlignment="1">
      <alignment/>
    </xf>
    <xf numFmtId="3" fontId="0" fillId="33" borderId="14" xfId="0" applyNumberFormat="1" applyFill="1" applyBorder="1" applyAlignment="1">
      <alignment/>
    </xf>
    <xf numFmtId="3" fontId="0" fillId="33" borderId="0" xfId="0" applyNumberFormat="1" applyFill="1" applyBorder="1" applyAlignment="1">
      <alignment/>
    </xf>
    <xf numFmtId="3" fontId="0" fillId="33" borderId="15" xfId="0" applyNumberFormat="1" applyFill="1" applyBorder="1" applyAlignment="1">
      <alignment/>
    </xf>
    <xf numFmtId="3" fontId="0" fillId="5" borderId="16" xfId="0" applyNumberFormat="1" applyFill="1" applyBorder="1" applyAlignment="1">
      <alignment/>
    </xf>
    <xf numFmtId="3" fontId="0" fillId="5" borderId="12" xfId="0" applyNumberFormat="1" applyFill="1" applyBorder="1" applyAlignment="1">
      <alignment/>
    </xf>
    <xf numFmtId="3" fontId="0" fillId="5" borderId="13" xfId="0" applyNumberFormat="1" applyFill="1" applyBorder="1" applyAlignment="1">
      <alignment/>
    </xf>
    <xf numFmtId="3" fontId="0" fillId="5" borderId="14" xfId="0" applyNumberFormat="1" applyFill="1" applyBorder="1" applyAlignment="1">
      <alignment/>
    </xf>
    <xf numFmtId="3" fontId="0" fillId="5" borderId="0" xfId="0" applyNumberFormat="1" applyFill="1" applyBorder="1" applyAlignment="1">
      <alignment/>
    </xf>
    <xf numFmtId="3" fontId="0" fillId="5" borderId="15" xfId="0" applyNumberFormat="1" applyFill="1" applyBorder="1" applyAlignment="1">
      <alignment/>
    </xf>
    <xf numFmtId="3" fontId="0" fillId="5" borderId="11" xfId="0" applyNumberFormat="1" applyFill="1" applyBorder="1" applyAlignment="1">
      <alignment/>
    </xf>
    <xf numFmtId="3" fontId="0" fillId="0" borderId="0" xfId="0" applyNumberFormat="1" applyAlignment="1">
      <alignment horizontal="center"/>
    </xf>
    <xf numFmtId="3" fontId="0" fillId="33" borderId="11" xfId="0" applyNumberFormat="1" applyFill="1" applyBorder="1" applyAlignment="1">
      <alignment/>
    </xf>
    <xf numFmtId="3" fontId="0" fillId="34" borderId="11" xfId="0" applyNumberFormat="1" applyFill="1" applyBorder="1" applyAlignment="1">
      <alignment/>
    </xf>
    <xf numFmtId="3" fontId="0" fillId="34" borderId="0" xfId="0" applyNumberFormat="1" applyFill="1" applyAlignment="1">
      <alignment/>
    </xf>
    <xf numFmtId="3" fontId="0" fillId="23" borderId="0" xfId="0" applyNumberFormat="1" applyFill="1" applyAlignment="1">
      <alignment/>
    </xf>
    <xf numFmtId="3" fontId="0" fillId="2" borderId="16" xfId="0" applyNumberFormat="1" applyFill="1" applyBorder="1" applyAlignment="1">
      <alignment horizontal="center"/>
    </xf>
    <xf numFmtId="3" fontId="0" fillId="2" borderId="11" xfId="0" applyNumberFormat="1" applyFill="1" applyBorder="1" applyAlignment="1">
      <alignment/>
    </xf>
    <xf numFmtId="3" fontId="0" fillId="3" borderId="17" xfId="0" applyNumberFormat="1" applyFill="1" applyBorder="1" applyAlignment="1">
      <alignment/>
    </xf>
    <xf numFmtId="3" fontId="0" fillId="3" borderId="18" xfId="0" applyNumberFormat="1" applyFill="1" applyBorder="1" applyAlignment="1">
      <alignment/>
    </xf>
    <xf numFmtId="3" fontId="0" fillId="3" borderId="19" xfId="0" applyNumberFormat="1" applyFill="1" applyBorder="1" applyAlignment="1">
      <alignment/>
    </xf>
    <xf numFmtId="3" fontId="0" fillId="9" borderId="18" xfId="0" applyNumberFormat="1" applyFill="1" applyBorder="1" applyAlignment="1">
      <alignment/>
    </xf>
    <xf numFmtId="3" fontId="0" fillId="9" borderId="19" xfId="0" applyNumberFormat="1" applyFill="1" applyBorder="1" applyAlignment="1">
      <alignment/>
    </xf>
    <xf numFmtId="3" fontId="0" fillId="33" borderId="20" xfId="0" applyNumberFormat="1" applyFill="1" applyBorder="1" applyAlignment="1">
      <alignment/>
    </xf>
    <xf numFmtId="3" fontId="0" fillId="33" borderId="21" xfId="0" applyNumberFormat="1" applyFill="1" applyBorder="1" applyAlignment="1">
      <alignment/>
    </xf>
    <xf numFmtId="3" fontId="0" fillId="5" borderId="21" xfId="0" applyNumberFormat="1" applyFill="1" applyBorder="1" applyAlignment="1">
      <alignment/>
    </xf>
    <xf numFmtId="3" fontId="0" fillId="33" borderId="22" xfId="0" applyNumberFormat="1" applyFill="1" applyBorder="1" applyAlignment="1">
      <alignment/>
    </xf>
    <xf numFmtId="3" fontId="0" fillId="33" borderId="23" xfId="0" applyNumberFormat="1" applyFill="1" applyBorder="1" applyAlignment="1">
      <alignment/>
    </xf>
    <xf numFmtId="3" fontId="0" fillId="5" borderId="22" xfId="0" applyNumberFormat="1" applyFill="1" applyBorder="1" applyAlignment="1">
      <alignment/>
    </xf>
    <xf numFmtId="3" fontId="0" fillId="33" borderId="24" xfId="0" applyNumberFormat="1" applyFill="1" applyBorder="1" applyAlignment="1">
      <alignment/>
    </xf>
    <xf numFmtId="3" fontId="0" fillId="0" borderId="24" xfId="0" applyNumberFormat="1" applyBorder="1" applyAlignment="1">
      <alignment/>
    </xf>
    <xf numFmtId="3" fontId="0" fillId="5" borderId="24" xfId="0" applyNumberFormat="1" applyFill="1" applyBorder="1" applyAlignment="1">
      <alignment/>
    </xf>
    <xf numFmtId="3" fontId="0" fillId="34" borderId="21" xfId="0" applyNumberFormat="1" applyFill="1" applyBorder="1" applyAlignment="1">
      <alignment/>
    </xf>
    <xf numFmtId="3" fontId="0" fillId="34" borderId="22" xfId="0" applyNumberFormat="1" applyFill="1" applyBorder="1" applyAlignment="1">
      <alignment/>
    </xf>
    <xf numFmtId="3" fontId="0" fillId="34" borderId="24" xfId="0" applyNumberFormat="1" applyFill="1" applyBorder="1" applyAlignment="1">
      <alignment/>
    </xf>
    <xf numFmtId="3" fontId="0" fillId="3" borderId="16" xfId="0" applyNumberFormat="1" applyFill="1" applyBorder="1" applyAlignment="1">
      <alignment/>
    </xf>
    <xf numFmtId="3" fontId="0" fillId="3" borderId="12" xfId="0" applyNumberFormat="1" applyFill="1" applyBorder="1" applyAlignment="1">
      <alignment/>
    </xf>
    <xf numFmtId="3" fontId="0" fillId="3" borderId="13" xfId="0" applyNumberFormat="1" applyFill="1" applyBorder="1" applyAlignment="1">
      <alignment/>
    </xf>
    <xf numFmtId="3" fontId="0" fillId="3" borderId="14" xfId="0" applyNumberFormat="1" applyFill="1" applyBorder="1" applyAlignment="1">
      <alignment/>
    </xf>
    <xf numFmtId="3" fontId="0" fillId="3" borderId="0" xfId="0" applyNumberFormat="1" applyFill="1" applyBorder="1" applyAlignment="1">
      <alignment/>
    </xf>
    <xf numFmtId="3" fontId="0" fillId="3" borderId="15" xfId="0" applyNumberFormat="1" applyFill="1" applyBorder="1" applyAlignment="1">
      <alignment/>
    </xf>
    <xf numFmtId="3" fontId="0" fillId="9" borderId="11" xfId="0" applyNumberFormat="1" applyFill="1" applyBorder="1" applyAlignment="1">
      <alignment/>
    </xf>
    <xf numFmtId="3" fontId="0" fillId="13" borderId="11" xfId="0" applyNumberFormat="1" applyFill="1" applyBorder="1" applyAlignment="1">
      <alignment/>
    </xf>
    <xf numFmtId="3" fontId="0" fillId="35" borderId="11" xfId="0" applyNumberFormat="1" applyFill="1" applyBorder="1" applyAlignment="1">
      <alignment/>
    </xf>
    <xf numFmtId="3" fontId="0" fillId="34" borderId="25" xfId="0" applyNumberFormat="1" applyFill="1" applyBorder="1" applyAlignment="1">
      <alignment/>
    </xf>
    <xf numFmtId="3" fontId="0" fillId="0" borderId="11" xfId="0" applyNumberFormat="1" applyBorder="1" applyAlignment="1">
      <alignment/>
    </xf>
    <xf numFmtId="3" fontId="0" fillId="10" borderId="11" xfId="0" applyNumberFormat="1" applyFill="1" applyBorder="1" applyAlignment="1">
      <alignment horizontal="center"/>
    </xf>
    <xf numFmtId="3" fontId="0" fillId="3" borderId="11" xfId="0" applyNumberFormat="1" applyFill="1" applyBorder="1" applyAlignment="1">
      <alignment horizontal="center"/>
    </xf>
    <xf numFmtId="3" fontId="0" fillId="0" borderId="0" xfId="0" applyNumberFormat="1" applyAlignment="1">
      <alignment horizontal="center"/>
    </xf>
    <xf numFmtId="3" fontId="0" fillId="36" borderId="0" xfId="0" applyNumberFormat="1" applyFill="1" applyAlignment="1">
      <alignment horizontal="center"/>
    </xf>
    <xf numFmtId="3" fontId="0" fillId="23" borderId="0" xfId="0" applyNumberFormat="1" applyFill="1" applyAlignment="1">
      <alignment horizontal="center"/>
    </xf>
    <xf numFmtId="3" fontId="0" fillId="36" borderId="11" xfId="0" applyNumberForma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1" xfId="0" applyBorder="1" applyAlignment="1">
      <alignment/>
    </xf>
    <xf numFmtId="42" fontId="0" fillId="0" borderId="11" xfId="0" applyNumberFormat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42" fontId="0" fillId="0" borderId="0" xfId="0" applyNumberFormat="1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UENTES%20OPERACIONAL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lujo"/>
      <sheetName val="Fichas tecnicas"/>
      <sheetName val="Hoja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1"/>
  <sheetViews>
    <sheetView zoomScalePageLayoutView="0" workbookViewId="0" topLeftCell="A49">
      <selection activeCell="E75" sqref="E75"/>
    </sheetView>
  </sheetViews>
  <sheetFormatPr defaultColWidth="11.421875" defaultRowHeight="15"/>
  <cols>
    <col min="1" max="1" width="25.57421875" style="1" customWidth="1"/>
    <col min="2" max="2" width="8.8515625" style="1" customWidth="1"/>
    <col min="3" max="3" width="10.8515625" style="1" customWidth="1"/>
    <col min="4" max="4" width="12.7109375" style="1" customWidth="1"/>
    <col min="5" max="5" width="13.7109375" style="1" bestFit="1" customWidth="1"/>
    <col min="6" max="8" width="11.421875" style="1" customWidth="1"/>
    <col min="9" max="9" width="12.57421875" style="1" customWidth="1"/>
    <col min="10" max="10" width="13.57421875" style="1" customWidth="1"/>
    <col min="11" max="11" width="14.7109375" style="1" customWidth="1"/>
    <col min="12" max="16384" width="11.421875" style="1" customWidth="1"/>
  </cols>
  <sheetData>
    <row r="1" spans="1:11" ht="15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1" ht="15">
      <c r="A2" s="58" t="s">
        <v>29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4" spans="2:11" ht="15">
      <c r="B4" s="56" t="s">
        <v>5</v>
      </c>
      <c r="C4" s="56"/>
      <c r="D4" s="56"/>
      <c r="E4" s="57" t="s">
        <v>13</v>
      </c>
      <c r="F4" s="57"/>
      <c r="G4" s="57"/>
      <c r="H4" s="57"/>
      <c r="I4" s="57"/>
      <c r="J4" s="57"/>
      <c r="K4" s="57"/>
    </row>
    <row r="5" spans="1:11" ht="15">
      <c r="A5" s="1" t="s">
        <v>1</v>
      </c>
      <c r="B5" s="4" t="s">
        <v>2</v>
      </c>
      <c r="C5" s="4" t="s">
        <v>3</v>
      </c>
      <c r="D5" s="4" t="s">
        <v>4</v>
      </c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  <c r="J5" s="5" t="s">
        <v>11</v>
      </c>
      <c r="K5" s="5" t="s">
        <v>12</v>
      </c>
    </row>
    <row r="7" spans="1:12" ht="15">
      <c r="A7" s="34" t="s">
        <v>14</v>
      </c>
      <c r="B7" s="39">
        <v>300000</v>
      </c>
      <c r="C7" s="39">
        <v>280000</v>
      </c>
      <c r="D7" s="39">
        <v>305000</v>
      </c>
      <c r="E7" s="36">
        <v>320000</v>
      </c>
      <c r="F7" s="22">
        <v>320000</v>
      </c>
      <c r="G7" s="22">
        <v>320000</v>
      </c>
      <c r="H7" s="22">
        <v>320000</v>
      </c>
      <c r="I7" s="22">
        <v>320000</v>
      </c>
      <c r="J7" s="22">
        <v>320000</v>
      </c>
      <c r="K7" s="22">
        <v>500000</v>
      </c>
      <c r="L7" s="1">
        <v>300000</v>
      </c>
    </row>
    <row r="8" spans="1:11" ht="15">
      <c r="A8" s="11"/>
      <c r="B8" s="39"/>
      <c r="C8" s="39"/>
      <c r="D8" s="39"/>
      <c r="E8" s="12"/>
      <c r="F8" s="12"/>
      <c r="G8" s="12"/>
      <c r="H8" s="12"/>
      <c r="I8" s="12"/>
      <c r="J8" s="12"/>
      <c r="K8" s="13"/>
    </row>
    <row r="9" spans="1:12" ht="15">
      <c r="A9" s="34" t="s">
        <v>15</v>
      </c>
      <c r="B9" s="39">
        <v>150000</v>
      </c>
      <c r="C9" s="39">
        <v>100000</v>
      </c>
      <c r="D9" s="39">
        <v>50000</v>
      </c>
      <c r="E9" s="36">
        <f aca="true" t="shared" si="0" ref="E9:J9">F7*15/30</f>
        <v>160000</v>
      </c>
      <c r="F9" s="22">
        <f t="shared" si="0"/>
        <v>160000</v>
      </c>
      <c r="G9" s="22">
        <f t="shared" si="0"/>
        <v>160000</v>
      </c>
      <c r="H9" s="22">
        <f t="shared" si="0"/>
        <v>160000</v>
      </c>
      <c r="I9" s="22">
        <f t="shared" si="0"/>
        <v>160000</v>
      </c>
      <c r="J9" s="22">
        <f t="shared" si="0"/>
        <v>250000</v>
      </c>
      <c r="K9" s="22">
        <v>150000</v>
      </c>
      <c r="L9" s="1">
        <v>150000</v>
      </c>
    </row>
    <row r="10" spans="1:11" ht="15">
      <c r="A10" s="11"/>
      <c r="B10" s="39"/>
      <c r="C10" s="39"/>
      <c r="D10" s="39"/>
      <c r="E10" s="33"/>
      <c r="F10" s="12"/>
      <c r="G10" s="12"/>
      <c r="H10" s="12"/>
      <c r="I10" s="12"/>
      <c r="J10" s="12"/>
      <c r="K10" s="13"/>
    </row>
    <row r="11" spans="1:12" ht="15.75" thickBot="1">
      <c r="A11" s="34" t="s">
        <v>21</v>
      </c>
      <c r="B11" s="39">
        <v>400000</v>
      </c>
      <c r="C11" s="39">
        <v>230000</v>
      </c>
      <c r="D11" s="39">
        <f>D9-C9+D7</f>
        <v>255000</v>
      </c>
      <c r="E11" s="37">
        <f>E9-D9+E7</f>
        <v>430000</v>
      </c>
      <c r="F11" s="22">
        <f aca="true" t="shared" si="1" ref="F11:L11">F9-E9+F7</f>
        <v>320000</v>
      </c>
      <c r="G11" s="22">
        <f t="shared" si="1"/>
        <v>320000</v>
      </c>
      <c r="H11" s="22">
        <f t="shared" si="1"/>
        <v>320000</v>
      </c>
      <c r="I11" s="22">
        <f t="shared" si="1"/>
        <v>320000</v>
      </c>
      <c r="J11" s="22">
        <f t="shared" si="1"/>
        <v>410000</v>
      </c>
      <c r="K11" s="22">
        <f t="shared" si="1"/>
        <v>400000</v>
      </c>
      <c r="L11" s="3">
        <f t="shared" si="1"/>
        <v>300000</v>
      </c>
    </row>
    <row r="12" spans="2:4" ht="15.75" thickBot="1">
      <c r="B12" s="40"/>
      <c r="C12" s="40"/>
      <c r="D12" s="40"/>
    </row>
    <row r="13" spans="1:11" ht="15">
      <c r="A13" s="14" t="s">
        <v>16</v>
      </c>
      <c r="B13" s="41"/>
      <c r="C13" s="41"/>
      <c r="D13" s="41"/>
      <c r="E13" s="15"/>
      <c r="F13" s="15"/>
      <c r="G13" s="15"/>
      <c r="H13" s="15"/>
      <c r="I13" s="15"/>
      <c r="J13" s="15"/>
      <c r="K13" s="16"/>
    </row>
    <row r="14" spans="1:11" ht="15">
      <c r="A14" s="35" t="s">
        <v>17</v>
      </c>
      <c r="B14" s="41"/>
      <c r="C14" s="41"/>
      <c r="D14" s="41">
        <v>15000</v>
      </c>
      <c r="E14" s="38">
        <f>F11*0.5</f>
        <v>160000</v>
      </c>
      <c r="F14" s="20">
        <f aca="true" t="shared" si="2" ref="F14:K14">G11*0.5</f>
        <v>160000</v>
      </c>
      <c r="G14" s="20">
        <f t="shared" si="2"/>
        <v>160000</v>
      </c>
      <c r="H14" s="20">
        <f t="shared" si="2"/>
        <v>160000</v>
      </c>
      <c r="I14" s="20">
        <f t="shared" si="2"/>
        <v>205000</v>
      </c>
      <c r="J14" s="20">
        <f t="shared" si="2"/>
        <v>200000</v>
      </c>
      <c r="K14" s="20">
        <f t="shared" si="2"/>
        <v>150000</v>
      </c>
    </row>
    <row r="15" spans="1:11" ht="15">
      <c r="A15" s="35" t="s">
        <v>18</v>
      </c>
      <c r="B15" s="41"/>
      <c r="C15" s="41"/>
      <c r="D15" s="41">
        <v>5000</v>
      </c>
      <c r="E15" s="38">
        <f>F11*0.3</f>
        <v>96000</v>
      </c>
      <c r="F15" s="20">
        <f aca="true" t="shared" si="3" ref="F15:K15">G11*0.3</f>
        <v>96000</v>
      </c>
      <c r="G15" s="20">
        <f t="shared" si="3"/>
        <v>96000</v>
      </c>
      <c r="H15" s="20">
        <f t="shared" si="3"/>
        <v>96000</v>
      </c>
      <c r="I15" s="20">
        <f t="shared" si="3"/>
        <v>123000</v>
      </c>
      <c r="J15" s="20">
        <f t="shared" si="3"/>
        <v>120000</v>
      </c>
      <c r="K15" s="20">
        <f t="shared" si="3"/>
        <v>90000</v>
      </c>
    </row>
    <row r="16" spans="1:11" ht="15">
      <c r="A16" s="35" t="s">
        <v>19</v>
      </c>
      <c r="B16" s="41"/>
      <c r="C16" s="41"/>
      <c r="D16" s="41">
        <v>10000</v>
      </c>
      <c r="E16" s="38">
        <f>F11*0.15</f>
        <v>48000</v>
      </c>
      <c r="F16" s="20">
        <f aca="true" t="shared" si="4" ref="F16:K16">G11*0.15</f>
        <v>48000</v>
      </c>
      <c r="G16" s="20">
        <f t="shared" si="4"/>
        <v>48000</v>
      </c>
      <c r="H16" s="20">
        <f t="shared" si="4"/>
        <v>48000</v>
      </c>
      <c r="I16" s="20">
        <f t="shared" si="4"/>
        <v>61500</v>
      </c>
      <c r="J16" s="20">
        <f t="shared" si="4"/>
        <v>60000</v>
      </c>
      <c r="K16" s="20">
        <f t="shared" si="4"/>
        <v>45000</v>
      </c>
    </row>
    <row r="17" spans="1:11" ht="15">
      <c r="A17" s="35" t="s">
        <v>20</v>
      </c>
      <c r="B17" s="41"/>
      <c r="C17" s="41"/>
      <c r="D17" s="41">
        <v>2000</v>
      </c>
      <c r="E17" s="38">
        <f>F11*0.05</f>
        <v>16000</v>
      </c>
      <c r="F17" s="20">
        <f aca="true" t="shared" si="5" ref="F17:K17">G11*0.05</f>
        <v>16000</v>
      </c>
      <c r="G17" s="20">
        <f t="shared" si="5"/>
        <v>16000</v>
      </c>
      <c r="H17" s="20">
        <f t="shared" si="5"/>
        <v>16000</v>
      </c>
      <c r="I17" s="20">
        <f t="shared" si="5"/>
        <v>20500</v>
      </c>
      <c r="J17" s="20">
        <f t="shared" si="5"/>
        <v>20000</v>
      </c>
      <c r="K17" s="20">
        <f t="shared" si="5"/>
        <v>15000</v>
      </c>
    </row>
    <row r="18" spans="1:11" ht="15">
      <c r="A18" s="17"/>
      <c r="B18" s="41"/>
      <c r="C18" s="41"/>
      <c r="D18" s="41"/>
      <c r="E18" s="18"/>
      <c r="F18" s="18"/>
      <c r="G18" s="18"/>
      <c r="H18" s="18"/>
      <c r="I18" s="18"/>
      <c r="J18" s="18"/>
      <c r="K18" s="19"/>
    </row>
    <row r="19" spans="1:11" ht="15">
      <c r="A19" s="17" t="s">
        <v>27</v>
      </c>
      <c r="B19" s="41"/>
      <c r="C19" s="41"/>
      <c r="D19" s="41"/>
      <c r="E19" s="18"/>
      <c r="F19" s="18"/>
      <c r="G19" s="18"/>
      <c r="H19" s="18"/>
      <c r="I19" s="18"/>
      <c r="J19" s="18"/>
      <c r="K19" s="19"/>
    </row>
    <row r="20" spans="1:11" ht="15">
      <c r="A20" s="35" t="s">
        <v>17</v>
      </c>
      <c r="B20" s="41"/>
      <c r="C20" s="41"/>
      <c r="D20" s="41">
        <v>150000</v>
      </c>
      <c r="E20" s="38">
        <f>(E11*0.5)+E14-D14</f>
        <v>360000</v>
      </c>
      <c r="F20" s="20">
        <f aca="true" t="shared" si="6" ref="F20:K20">(F11*0.5)+F14-E14</f>
        <v>160000</v>
      </c>
      <c r="G20" s="20">
        <f t="shared" si="6"/>
        <v>160000</v>
      </c>
      <c r="H20" s="20">
        <f t="shared" si="6"/>
        <v>160000</v>
      </c>
      <c r="I20" s="20">
        <f t="shared" si="6"/>
        <v>205000</v>
      </c>
      <c r="J20" s="20">
        <f t="shared" si="6"/>
        <v>200000</v>
      </c>
      <c r="K20" s="20">
        <f t="shared" si="6"/>
        <v>150000</v>
      </c>
    </row>
    <row r="21" spans="1:11" ht="15">
      <c r="A21" s="35" t="s">
        <v>18</v>
      </c>
      <c r="B21" s="41"/>
      <c r="C21" s="41"/>
      <c r="D21" s="41">
        <v>90000</v>
      </c>
      <c r="E21" s="38">
        <f>(E11*0.3)+E15-D15</f>
        <v>220000</v>
      </c>
      <c r="F21" s="20">
        <f aca="true" t="shared" si="7" ref="F21:K21">(F11*0.3)+F15-E15</f>
        <v>96000</v>
      </c>
      <c r="G21" s="20">
        <f t="shared" si="7"/>
        <v>96000</v>
      </c>
      <c r="H21" s="20">
        <f t="shared" si="7"/>
        <v>96000</v>
      </c>
      <c r="I21" s="20">
        <f t="shared" si="7"/>
        <v>123000</v>
      </c>
      <c r="J21" s="20">
        <f t="shared" si="7"/>
        <v>120000</v>
      </c>
      <c r="K21" s="20">
        <f t="shared" si="7"/>
        <v>90000</v>
      </c>
    </row>
    <row r="22" spans="1:11" ht="15">
      <c r="A22" s="35" t="s">
        <v>19</v>
      </c>
      <c r="B22" s="41"/>
      <c r="C22" s="41"/>
      <c r="D22" s="41">
        <v>35000</v>
      </c>
      <c r="E22" s="38">
        <f>(E11*0.15)+E16-D16</f>
        <v>102500</v>
      </c>
      <c r="F22" s="20">
        <f aca="true" t="shared" si="8" ref="F22:K22">(F11*0.15)+F16-E16</f>
        <v>48000</v>
      </c>
      <c r="G22" s="20">
        <f t="shared" si="8"/>
        <v>48000</v>
      </c>
      <c r="H22" s="20">
        <f t="shared" si="8"/>
        <v>48000</v>
      </c>
      <c r="I22" s="20">
        <f t="shared" si="8"/>
        <v>61500</v>
      </c>
      <c r="J22" s="20">
        <f t="shared" si="8"/>
        <v>60000</v>
      </c>
      <c r="K22" s="20">
        <f t="shared" si="8"/>
        <v>45000</v>
      </c>
    </row>
    <row r="23" spans="1:11" ht="15">
      <c r="A23" s="35" t="s">
        <v>20</v>
      </c>
      <c r="B23" s="41"/>
      <c r="C23" s="41"/>
      <c r="D23" s="41">
        <v>15000</v>
      </c>
      <c r="E23" s="38">
        <f>(E11*5%)+E17-D17</f>
        <v>35500</v>
      </c>
      <c r="F23" s="20">
        <f aca="true" t="shared" si="9" ref="F23:K23">(F11*5%)+F17-E17</f>
        <v>16000</v>
      </c>
      <c r="G23" s="20">
        <f t="shared" si="9"/>
        <v>16000</v>
      </c>
      <c r="H23" s="20">
        <f t="shared" si="9"/>
        <v>16000</v>
      </c>
      <c r="I23" s="20">
        <f t="shared" si="9"/>
        <v>20500</v>
      </c>
      <c r="J23" s="20">
        <f t="shared" si="9"/>
        <v>20000</v>
      </c>
      <c r="K23" s="20">
        <f t="shared" si="9"/>
        <v>15000</v>
      </c>
    </row>
    <row r="24" spans="2:4" ht="15.75" thickBot="1">
      <c r="B24" s="40"/>
      <c r="C24" s="40"/>
      <c r="D24" s="40"/>
    </row>
    <row r="25" spans="1:11" ht="15">
      <c r="A25" s="14" t="s">
        <v>22</v>
      </c>
      <c r="B25" s="41"/>
      <c r="C25" s="41"/>
      <c r="D25" s="41"/>
      <c r="E25" s="15"/>
      <c r="F25" s="15"/>
      <c r="G25" s="15"/>
      <c r="H25" s="15"/>
      <c r="I25" s="15"/>
      <c r="J25" s="15"/>
      <c r="K25" s="16"/>
    </row>
    <row r="26" spans="1:11" ht="15">
      <c r="A26" s="35" t="s">
        <v>23</v>
      </c>
      <c r="B26" s="41"/>
      <c r="C26" s="41"/>
      <c r="D26" s="41">
        <v>25000000</v>
      </c>
      <c r="E26" s="38">
        <f>F11*3000/2</f>
        <v>480000000</v>
      </c>
      <c r="F26" s="20">
        <f aca="true" t="shared" si="10" ref="F26:K26">G11*3000/2</f>
        <v>480000000</v>
      </c>
      <c r="G26" s="20">
        <f t="shared" si="10"/>
        <v>480000000</v>
      </c>
      <c r="H26" s="20">
        <f t="shared" si="10"/>
        <v>480000000</v>
      </c>
      <c r="I26" s="20">
        <f t="shared" si="10"/>
        <v>615000000</v>
      </c>
      <c r="J26" s="20">
        <f t="shared" si="10"/>
        <v>600000000</v>
      </c>
      <c r="K26" s="20">
        <f t="shared" si="10"/>
        <v>450000000</v>
      </c>
    </row>
    <row r="27" spans="1:11" ht="15">
      <c r="A27" s="35" t="s">
        <v>24</v>
      </c>
      <c r="B27" s="41"/>
      <c r="C27" s="41"/>
      <c r="D27" s="41">
        <v>15000000</v>
      </c>
      <c r="E27" s="38">
        <f>F11*1500/2</f>
        <v>240000000</v>
      </c>
      <c r="F27" s="20">
        <f aca="true" t="shared" si="11" ref="F27:K27">G11*1500/2</f>
        <v>240000000</v>
      </c>
      <c r="G27" s="20">
        <f t="shared" si="11"/>
        <v>240000000</v>
      </c>
      <c r="H27" s="20">
        <f t="shared" si="11"/>
        <v>240000000</v>
      </c>
      <c r="I27" s="20">
        <f t="shared" si="11"/>
        <v>307500000</v>
      </c>
      <c r="J27" s="20">
        <f t="shared" si="11"/>
        <v>300000000</v>
      </c>
      <c r="K27" s="20">
        <f t="shared" si="11"/>
        <v>225000000</v>
      </c>
    </row>
    <row r="28" spans="1:11" ht="15">
      <c r="A28" s="35" t="s">
        <v>25</v>
      </c>
      <c r="B28" s="41"/>
      <c r="C28" s="41"/>
      <c r="D28" s="41">
        <v>3000000</v>
      </c>
      <c r="E28" s="38">
        <f>F11*250/2</f>
        <v>40000000</v>
      </c>
      <c r="F28" s="20">
        <f aca="true" t="shared" si="12" ref="F28:K28">G11*250/2</f>
        <v>40000000</v>
      </c>
      <c r="G28" s="20">
        <f t="shared" si="12"/>
        <v>40000000</v>
      </c>
      <c r="H28" s="20">
        <f t="shared" si="12"/>
        <v>40000000</v>
      </c>
      <c r="I28" s="20">
        <f t="shared" si="12"/>
        <v>51250000</v>
      </c>
      <c r="J28" s="20">
        <f t="shared" si="12"/>
        <v>50000000</v>
      </c>
      <c r="K28" s="20">
        <f t="shared" si="12"/>
        <v>37500000</v>
      </c>
    </row>
    <row r="29" spans="1:11" ht="15">
      <c r="A29" s="35" t="s">
        <v>26</v>
      </c>
      <c r="B29" s="41"/>
      <c r="C29" s="41"/>
      <c r="D29" s="41">
        <v>2000000</v>
      </c>
      <c r="E29" s="38">
        <f>F11*150/2</f>
        <v>24000000</v>
      </c>
      <c r="F29" s="20">
        <f aca="true" t="shared" si="13" ref="F29:K29">G11*150/2</f>
        <v>24000000</v>
      </c>
      <c r="G29" s="20">
        <f t="shared" si="13"/>
        <v>24000000</v>
      </c>
      <c r="H29" s="20">
        <f t="shared" si="13"/>
        <v>24000000</v>
      </c>
      <c r="I29" s="20">
        <f t="shared" si="13"/>
        <v>30750000</v>
      </c>
      <c r="J29" s="20">
        <f t="shared" si="13"/>
        <v>30000000</v>
      </c>
      <c r="K29" s="20">
        <f t="shared" si="13"/>
        <v>22500000</v>
      </c>
    </row>
    <row r="30" spans="1:11" ht="15">
      <c r="A30" s="17"/>
      <c r="B30" s="18"/>
      <c r="C30" s="18"/>
      <c r="D30" s="18"/>
      <c r="E30" s="18"/>
      <c r="F30" s="18"/>
      <c r="G30" s="18"/>
      <c r="H30" s="18"/>
      <c r="I30" s="18"/>
      <c r="J30" s="18"/>
      <c r="K30" s="19"/>
    </row>
    <row r="31" spans="1:11" ht="15">
      <c r="A31" s="17" t="s">
        <v>28</v>
      </c>
      <c r="B31" s="18"/>
      <c r="C31" s="18"/>
      <c r="D31" s="18"/>
      <c r="E31" s="18"/>
      <c r="F31" s="18"/>
      <c r="G31" s="18"/>
      <c r="H31" s="18"/>
      <c r="I31" s="18"/>
      <c r="J31" s="18"/>
      <c r="K31" s="19"/>
    </row>
    <row r="32" spans="1:11" ht="15">
      <c r="A32" s="35" t="s">
        <v>23</v>
      </c>
      <c r="B32" s="41"/>
      <c r="C32" s="41">
        <v>900000000</v>
      </c>
      <c r="D32" s="41">
        <v>800000000</v>
      </c>
      <c r="E32" s="38">
        <f>(E11*3000)+E26-D26</f>
        <v>1745000000</v>
      </c>
      <c r="F32" s="20">
        <f aca="true" t="shared" si="14" ref="F32:K32">(F11*3000)+F26-E26</f>
        <v>960000000</v>
      </c>
      <c r="G32" s="20">
        <f t="shared" si="14"/>
        <v>960000000</v>
      </c>
      <c r="H32" s="20">
        <f t="shared" si="14"/>
        <v>960000000</v>
      </c>
      <c r="I32" s="20">
        <f t="shared" si="14"/>
        <v>1095000000</v>
      </c>
      <c r="J32" s="20">
        <f t="shared" si="14"/>
        <v>1215000000</v>
      </c>
      <c r="K32" s="20">
        <f t="shared" si="14"/>
        <v>1050000000</v>
      </c>
    </row>
    <row r="33" spans="1:11" ht="15">
      <c r="A33" s="35" t="s">
        <v>24</v>
      </c>
      <c r="B33" s="41"/>
      <c r="C33" s="41">
        <v>450000000</v>
      </c>
      <c r="D33" s="41">
        <v>400000000</v>
      </c>
      <c r="E33" s="38">
        <f>(E11*1500)+E27-D27</f>
        <v>870000000</v>
      </c>
      <c r="F33" s="20">
        <f aca="true" t="shared" si="15" ref="F33:K33">(F11*1500)+F27-E27</f>
        <v>480000000</v>
      </c>
      <c r="G33" s="20">
        <f t="shared" si="15"/>
        <v>480000000</v>
      </c>
      <c r="H33" s="20">
        <f t="shared" si="15"/>
        <v>480000000</v>
      </c>
      <c r="I33" s="20">
        <f t="shared" si="15"/>
        <v>547500000</v>
      </c>
      <c r="J33" s="20">
        <f t="shared" si="15"/>
        <v>607500000</v>
      </c>
      <c r="K33" s="20">
        <f t="shared" si="15"/>
        <v>525000000</v>
      </c>
    </row>
    <row r="34" spans="1:11" ht="15">
      <c r="A34" s="35" t="s">
        <v>25</v>
      </c>
      <c r="B34" s="41"/>
      <c r="C34" s="41">
        <v>95000000</v>
      </c>
      <c r="D34" s="41">
        <v>80000000</v>
      </c>
      <c r="E34" s="38">
        <f>(E11*250)+E28-D28</f>
        <v>144500000</v>
      </c>
      <c r="F34" s="20">
        <f aca="true" t="shared" si="16" ref="F34:K34">(F11*250)+F28-E28</f>
        <v>80000000</v>
      </c>
      <c r="G34" s="20">
        <f t="shared" si="16"/>
        <v>80000000</v>
      </c>
      <c r="H34" s="20">
        <f t="shared" si="16"/>
        <v>80000000</v>
      </c>
      <c r="I34" s="20">
        <f t="shared" si="16"/>
        <v>91250000</v>
      </c>
      <c r="J34" s="20">
        <f t="shared" si="16"/>
        <v>101250000</v>
      </c>
      <c r="K34" s="20">
        <f t="shared" si="16"/>
        <v>87500000</v>
      </c>
    </row>
    <row r="35" spans="1:11" ht="15">
      <c r="A35" s="35" t="s">
        <v>26</v>
      </c>
      <c r="B35" s="41"/>
      <c r="C35" s="41">
        <v>50000000</v>
      </c>
      <c r="D35" s="41">
        <v>40000000</v>
      </c>
      <c r="E35" s="38">
        <f>(E11*150)+E29-D29</f>
        <v>86500000</v>
      </c>
      <c r="F35" s="20">
        <f aca="true" t="shared" si="17" ref="F35:K35">(F11*150)+F29-E29</f>
        <v>48000000</v>
      </c>
      <c r="G35" s="20">
        <f t="shared" si="17"/>
        <v>48000000</v>
      </c>
      <c r="H35" s="20">
        <f t="shared" si="17"/>
        <v>48000000</v>
      </c>
      <c r="I35" s="20">
        <f t="shared" si="17"/>
        <v>54750000</v>
      </c>
      <c r="J35" s="20">
        <f t="shared" si="17"/>
        <v>60750000</v>
      </c>
      <c r="K35" s="20">
        <f t="shared" si="17"/>
        <v>52500000</v>
      </c>
    </row>
    <row r="37" spans="1:11" ht="15">
      <c r="A37" s="59" t="s">
        <v>30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</row>
    <row r="39" spans="1:11" ht="15">
      <c r="A39" s="42" t="s">
        <v>31</v>
      </c>
      <c r="B39" s="44"/>
      <c r="C39" s="44">
        <v>40000</v>
      </c>
      <c r="D39" s="44">
        <v>40000</v>
      </c>
      <c r="E39" s="43">
        <v>40000</v>
      </c>
      <c r="F39" s="23">
        <v>40000</v>
      </c>
      <c r="G39" s="23">
        <v>40000</v>
      </c>
      <c r="H39" s="23">
        <v>40000</v>
      </c>
      <c r="I39" s="23">
        <v>40000</v>
      </c>
      <c r="J39" s="23">
        <v>40000</v>
      </c>
      <c r="K39" s="23">
        <v>40000</v>
      </c>
    </row>
    <row r="40" spans="1:11" ht="15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</row>
    <row r="41" spans="1:12" ht="15">
      <c r="A41" s="42" t="s">
        <v>17</v>
      </c>
      <c r="B41" s="44"/>
      <c r="C41" s="44">
        <v>10000</v>
      </c>
      <c r="D41" s="44">
        <v>10000</v>
      </c>
      <c r="E41" s="43">
        <v>10000</v>
      </c>
      <c r="F41" s="23">
        <v>10000</v>
      </c>
      <c r="G41" s="23">
        <v>10000</v>
      </c>
      <c r="H41" s="23">
        <v>10000</v>
      </c>
      <c r="I41" s="23">
        <v>10000</v>
      </c>
      <c r="J41" s="23">
        <v>10000</v>
      </c>
      <c r="K41" s="23">
        <v>10000</v>
      </c>
      <c r="L41" s="1">
        <v>10000</v>
      </c>
    </row>
    <row r="42" spans="1:12" ht="15">
      <c r="A42" s="42" t="s">
        <v>32</v>
      </c>
      <c r="B42" s="44"/>
      <c r="C42" s="44">
        <v>3000</v>
      </c>
      <c r="D42" s="44">
        <v>3000</v>
      </c>
      <c r="E42" s="43">
        <v>3000</v>
      </c>
      <c r="F42" s="23">
        <v>3000</v>
      </c>
      <c r="G42" s="23">
        <v>3000</v>
      </c>
      <c r="H42" s="23">
        <v>3000</v>
      </c>
      <c r="I42" s="23">
        <v>3000</v>
      </c>
      <c r="J42" s="23">
        <v>3000</v>
      </c>
      <c r="K42" s="23">
        <v>3000</v>
      </c>
      <c r="L42" s="1">
        <v>3000</v>
      </c>
    </row>
    <row r="43" spans="1:12" ht="15">
      <c r="A43" s="42" t="s">
        <v>33</v>
      </c>
      <c r="B43" s="44"/>
      <c r="C43" s="44">
        <v>1500</v>
      </c>
      <c r="D43" s="44">
        <v>1500</v>
      </c>
      <c r="E43" s="43">
        <v>1500</v>
      </c>
      <c r="F43" s="23">
        <v>1500</v>
      </c>
      <c r="G43" s="23">
        <v>1500</v>
      </c>
      <c r="H43" s="23">
        <v>1500</v>
      </c>
      <c r="I43" s="23">
        <v>1500</v>
      </c>
      <c r="J43" s="23">
        <v>1500</v>
      </c>
      <c r="K43" s="23">
        <v>1500</v>
      </c>
      <c r="L43" s="1">
        <v>1500</v>
      </c>
    </row>
    <row r="44" spans="1:12" ht="15">
      <c r="A44" s="42" t="s">
        <v>20</v>
      </c>
      <c r="B44" s="44"/>
      <c r="C44" s="44">
        <v>2000</v>
      </c>
      <c r="D44" s="44">
        <v>2000</v>
      </c>
      <c r="E44" s="43">
        <v>2000</v>
      </c>
      <c r="F44" s="23">
        <v>2000</v>
      </c>
      <c r="G44" s="23">
        <v>2000</v>
      </c>
      <c r="H44" s="23">
        <v>2000</v>
      </c>
      <c r="I44" s="23">
        <v>2000</v>
      </c>
      <c r="J44" s="23">
        <v>2000</v>
      </c>
      <c r="K44" s="23">
        <v>2000</v>
      </c>
      <c r="L44" s="1">
        <v>2000</v>
      </c>
    </row>
    <row r="45" spans="1:11" ht="15">
      <c r="A45" s="24"/>
      <c r="B45" s="44"/>
      <c r="C45" s="44"/>
      <c r="D45" s="44"/>
      <c r="E45" s="24"/>
      <c r="F45" s="24"/>
      <c r="G45" s="24"/>
      <c r="H45" s="24"/>
      <c r="I45" s="24"/>
      <c r="J45" s="24"/>
      <c r="K45" s="24"/>
    </row>
    <row r="46" spans="1:12" ht="15">
      <c r="A46" s="42" t="s">
        <v>34</v>
      </c>
      <c r="B46" s="44"/>
      <c r="C46" s="44"/>
      <c r="D46" s="44">
        <v>100</v>
      </c>
      <c r="E46" s="43">
        <v>100</v>
      </c>
      <c r="F46" s="23">
        <v>100</v>
      </c>
      <c r="G46" s="23">
        <v>100</v>
      </c>
      <c r="H46" s="23">
        <v>100</v>
      </c>
      <c r="I46" s="23">
        <v>100</v>
      </c>
      <c r="J46" s="23">
        <v>100</v>
      </c>
      <c r="K46" s="23">
        <v>100</v>
      </c>
      <c r="L46" s="1">
        <v>100</v>
      </c>
    </row>
    <row r="47" spans="1:12" ht="15">
      <c r="A47" s="42" t="s">
        <v>35</v>
      </c>
      <c r="B47" s="44"/>
      <c r="C47" s="44"/>
      <c r="D47" s="44">
        <v>150</v>
      </c>
      <c r="E47" s="43">
        <v>150</v>
      </c>
      <c r="F47" s="23">
        <v>150</v>
      </c>
      <c r="G47" s="23">
        <v>150</v>
      </c>
      <c r="H47" s="23">
        <v>150</v>
      </c>
      <c r="I47" s="23">
        <v>150</v>
      </c>
      <c r="J47" s="23">
        <v>150</v>
      </c>
      <c r="K47" s="23">
        <v>150</v>
      </c>
      <c r="L47" s="1">
        <v>150</v>
      </c>
    </row>
    <row r="48" spans="1:12" ht="15">
      <c r="A48" s="42" t="s">
        <v>36</v>
      </c>
      <c r="B48" s="44"/>
      <c r="C48" s="44"/>
      <c r="D48" s="44">
        <v>50</v>
      </c>
      <c r="E48" s="43">
        <v>50</v>
      </c>
      <c r="F48" s="23">
        <v>50</v>
      </c>
      <c r="G48" s="23">
        <v>50</v>
      </c>
      <c r="H48" s="23">
        <v>50</v>
      </c>
      <c r="I48" s="23">
        <v>50</v>
      </c>
      <c r="J48" s="23">
        <v>50</v>
      </c>
      <c r="K48" s="23">
        <v>50</v>
      </c>
      <c r="L48" s="1">
        <v>50</v>
      </c>
    </row>
    <row r="49" spans="1:12" ht="15">
      <c r="A49" s="42" t="s">
        <v>32</v>
      </c>
      <c r="B49" s="44"/>
      <c r="C49" s="44"/>
      <c r="D49" s="44">
        <v>60</v>
      </c>
      <c r="E49" s="43">
        <v>60</v>
      </c>
      <c r="F49" s="23">
        <v>60</v>
      </c>
      <c r="G49" s="23">
        <v>60</v>
      </c>
      <c r="H49" s="23">
        <v>60</v>
      </c>
      <c r="I49" s="23">
        <v>60</v>
      </c>
      <c r="J49" s="23">
        <v>60</v>
      </c>
      <c r="K49" s="23">
        <v>60</v>
      </c>
      <c r="L49" s="1">
        <v>60</v>
      </c>
    </row>
    <row r="51" spans="1:11" s="25" customFormat="1" ht="15">
      <c r="A51" s="60" t="s">
        <v>41</v>
      </c>
      <c r="B51" s="60"/>
      <c r="C51" s="60"/>
      <c r="D51" s="60"/>
      <c r="E51" s="60"/>
      <c r="F51" s="60"/>
      <c r="G51" s="60"/>
      <c r="H51" s="60"/>
      <c r="I51" s="60"/>
      <c r="J51" s="60"/>
      <c r="K51" s="60"/>
    </row>
    <row r="52" ht="15.75" thickBot="1"/>
    <row r="53" spans="1:11" ht="15">
      <c r="A53" s="26" t="s">
        <v>37</v>
      </c>
      <c r="B53" s="6"/>
      <c r="C53" s="6"/>
      <c r="D53" s="6"/>
      <c r="E53" s="6"/>
      <c r="F53" s="6"/>
      <c r="G53" s="6"/>
      <c r="H53" s="6"/>
      <c r="I53" s="6"/>
      <c r="J53" s="6"/>
      <c r="K53" s="7"/>
    </row>
    <row r="54" spans="1:11" ht="15">
      <c r="A54" s="8"/>
      <c r="B54" s="9"/>
      <c r="C54" s="9"/>
      <c r="D54" s="9"/>
      <c r="E54" s="9"/>
      <c r="F54" s="9"/>
      <c r="G54" s="9"/>
      <c r="H54" s="9"/>
      <c r="I54" s="9"/>
      <c r="J54" s="9"/>
      <c r="K54" s="10"/>
    </row>
    <row r="55" spans="1:11" ht="15">
      <c r="A55" s="27" t="s">
        <v>38</v>
      </c>
      <c r="B55" s="27"/>
      <c r="C55" s="27"/>
      <c r="D55" s="27"/>
      <c r="E55" s="27">
        <f>C7*C39/1000</f>
        <v>11200000</v>
      </c>
      <c r="F55" s="27">
        <f aca="true" t="shared" si="18" ref="F55:K55">D7*D39/1000</f>
        <v>12200000</v>
      </c>
      <c r="G55" s="27">
        <f t="shared" si="18"/>
        <v>12800000</v>
      </c>
      <c r="H55" s="27">
        <f t="shared" si="18"/>
        <v>12800000</v>
      </c>
      <c r="I55" s="27">
        <f t="shared" si="18"/>
        <v>12800000</v>
      </c>
      <c r="J55" s="27">
        <f t="shared" si="18"/>
        <v>12800000</v>
      </c>
      <c r="K55" s="27">
        <f t="shared" si="18"/>
        <v>12800000</v>
      </c>
    </row>
    <row r="56" spans="1:11" ht="15">
      <c r="A56" s="27" t="s">
        <v>39</v>
      </c>
      <c r="B56" s="27"/>
      <c r="C56" s="27"/>
      <c r="D56" s="27"/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</row>
    <row r="57" spans="1:11" ht="15">
      <c r="A57" s="8"/>
      <c r="B57" s="9"/>
      <c r="C57" s="9"/>
      <c r="D57" s="9"/>
      <c r="E57" s="9"/>
      <c r="F57" s="9"/>
      <c r="G57" s="9"/>
      <c r="H57" s="9"/>
      <c r="I57" s="9"/>
      <c r="J57" s="9"/>
      <c r="K57" s="9"/>
    </row>
    <row r="58" spans="1:11" ht="15">
      <c r="A58" s="52" t="s">
        <v>40</v>
      </c>
      <c r="B58" s="52"/>
      <c r="C58" s="52"/>
      <c r="D58" s="52"/>
      <c r="E58" s="52">
        <f>E55+E56</f>
        <v>11200000</v>
      </c>
      <c r="F58" s="52">
        <f aca="true" t="shared" si="19" ref="F58:K58">F55+F56</f>
        <v>12200000</v>
      </c>
      <c r="G58" s="52">
        <f t="shared" si="19"/>
        <v>12800000</v>
      </c>
      <c r="H58" s="52">
        <f t="shared" si="19"/>
        <v>12800000</v>
      </c>
      <c r="I58" s="52">
        <f t="shared" si="19"/>
        <v>12800000</v>
      </c>
      <c r="J58" s="52">
        <f t="shared" si="19"/>
        <v>12800000</v>
      </c>
      <c r="K58" s="52">
        <f t="shared" si="19"/>
        <v>12800000</v>
      </c>
    </row>
    <row r="60" ht="15">
      <c r="A60" s="21" t="s">
        <v>42</v>
      </c>
    </row>
    <row r="62" spans="1:11" ht="15">
      <c r="A62" s="2" t="s">
        <v>21</v>
      </c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1:11" ht="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1:11" ht="15">
      <c r="A64" s="5" t="s">
        <v>43</v>
      </c>
      <c r="B64" s="5"/>
      <c r="C64" s="5"/>
      <c r="D64" s="5"/>
      <c r="E64" s="5">
        <f>D41*D20/1000</f>
        <v>1500000</v>
      </c>
      <c r="F64" s="5">
        <f aca="true" t="shared" si="20" ref="F64:K64">E41*E20/1000</f>
        <v>3600000</v>
      </c>
      <c r="G64" s="5">
        <f t="shared" si="20"/>
        <v>1600000</v>
      </c>
      <c r="H64" s="5">
        <f t="shared" si="20"/>
        <v>1600000</v>
      </c>
      <c r="I64" s="5">
        <f t="shared" si="20"/>
        <v>1600000</v>
      </c>
      <c r="J64" s="5">
        <f t="shared" si="20"/>
        <v>2050000</v>
      </c>
      <c r="K64" s="5">
        <f t="shared" si="20"/>
        <v>2000000</v>
      </c>
    </row>
    <row r="65" spans="1:11" ht="15">
      <c r="A65" s="5" t="s">
        <v>44</v>
      </c>
      <c r="B65" s="5"/>
      <c r="C65" s="5"/>
      <c r="D65" s="5"/>
      <c r="E65" s="5">
        <f>D42*D21/1000</f>
        <v>270000</v>
      </c>
      <c r="F65" s="5">
        <f aca="true" t="shared" si="21" ref="F65:K65">E42*E21/1000</f>
        <v>660000</v>
      </c>
      <c r="G65" s="5">
        <f t="shared" si="21"/>
        <v>288000</v>
      </c>
      <c r="H65" s="5">
        <f t="shared" si="21"/>
        <v>288000</v>
      </c>
      <c r="I65" s="5">
        <f t="shared" si="21"/>
        <v>288000</v>
      </c>
      <c r="J65" s="5">
        <f t="shared" si="21"/>
        <v>369000</v>
      </c>
      <c r="K65" s="5">
        <f t="shared" si="21"/>
        <v>360000</v>
      </c>
    </row>
    <row r="66" spans="1:11" ht="15">
      <c r="A66" s="5" t="s">
        <v>45</v>
      </c>
      <c r="B66" s="5"/>
      <c r="C66" s="5"/>
      <c r="D66" s="5"/>
      <c r="E66" s="5">
        <f>D43*D22/1000</f>
        <v>52500</v>
      </c>
      <c r="F66" s="5">
        <f aca="true" t="shared" si="22" ref="F66:K66">E43*E22/1000</f>
        <v>153750</v>
      </c>
      <c r="G66" s="5">
        <f t="shared" si="22"/>
        <v>72000</v>
      </c>
      <c r="H66" s="5">
        <f t="shared" si="22"/>
        <v>72000</v>
      </c>
      <c r="I66" s="5">
        <f t="shared" si="22"/>
        <v>72000</v>
      </c>
      <c r="J66" s="5">
        <f t="shared" si="22"/>
        <v>92250</v>
      </c>
      <c r="K66" s="5">
        <f t="shared" si="22"/>
        <v>90000</v>
      </c>
    </row>
    <row r="67" spans="1:11" ht="15.75" thickBot="1">
      <c r="A67" s="28" t="s">
        <v>46</v>
      </c>
      <c r="B67" s="28"/>
      <c r="C67" s="28"/>
      <c r="D67" s="28"/>
      <c r="E67" s="28">
        <f>D44*D23/1000</f>
        <v>30000</v>
      </c>
      <c r="F67" s="28">
        <f aca="true" t="shared" si="23" ref="F67:K67">E44*E23/1000</f>
        <v>71000</v>
      </c>
      <c r="G67" s="28">
        <f t="shared" si="23"/>
        <v>32000</v>
      </c>
      <c r="H67" s="28">
        <f t="shared" si="23"/>
        <v>32000</v>
      </c>
      <c r="I67" s="28">
        <f t="shared" si="23"/>
        <v>32000</v>
      </c>
      <c r="J67" s="28">
        <f t="shared" si="23"/>
        <v>41000</v>
      </c>
      <c r="K67" s="28">
        <f t="shared" si="23"/>
        <v>40000</v>
      </c>
    </row>
    <row r="68" spans="1:11" ht="15.75" thickBot="1">
      <c r="A68" s="29" t="s">
        <v>47</v>
      </c>
      <c r="B68" s="30"/>
      <c r="C68" s="30"/>
      <c r="D68" s="30"/>
      <c r="E68" s="30">
        <f>E64+E65+E66+E67</f>
        <v>1852500</v>
      </c>
      <c r="F68" s="30">
        <f aca="true" t="shared" si="24" ref="F68:K68">F64+F65+F66+F67</f>
        <v>4484750</v>
      </c>
      <c r="G68" s="30">
        <f t="shared" si="24"/>
        <v>1992000</v>
      </c>
      <c r="H68" s="30">
        <f t="shared" si="24"/>
        <v>1992000</v>
      </c>
      <c r="I68" s="30">
        <f t="shared" si="24"/>
        <v>1992000</v>
      </c>
      <c r="J68" s="30">
        <f t="shared" si="24"/>
        <v>2552250</v>
      </c>
      <c r="K68" s="30">
        <f t="shared" si="24"/>
        <v>2490000</v>
      </c>
    </row>
    <row r="69" spans="1:11" ht="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1:11" ht="15">
      <c r="A70" s="5" t="s">
        <v>48</v>
      </c>
      <c r="B70" s="5"/>
      <c r="C70" s="5"/>
      <c r="D70" s="5"/>
      <c r="E70" s="5">
        <f>(C32+C33+C34+C35)/1000</f>
        <v>1495000</v>
      </c>
      <c r="F70" s="5">
        <f aca="true" t="shared" si="25" ref="F70:K70">(D32+D33+D34+D35)/1000</f>
        <v>1320000</v>
      </c>
      <c r="G70" s="5">
        <f t="shared" si="25"/>
        <v>2846000</v>
      </c>
      <c r="H70" s="5">
        <f t="shared" si="25"/>
        <v>1568000</v>
      </c>
      <c r="I70" s="5">
        <f t="shared" si="25"/>
        <v>1568000</v>
      </c>
      <c r="J70" s="5">
        <f t="shared" si="25"/>
        <v>1568000</v>
      </c>
      <c r="K70" s="5">
        <f t="shared" si="25"/>
        <v>1788500</v>
      </c>
    </row>
    <row r="71" spans="1:11" ht="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1:11" ht="15">
      <c r="A72" s="5" t="s">
        <v>34</v>
      </c>
      <c r="B72" s="5"/>
      <c r="C72" s="5"/>
      <c r="D72" s="5"/>
      <c r="E72" s="5">
        <f>100*E11/1000</f>
        <v>43000</v>
      </c>
      <c r="F72" s="5">
        <f aca="true" t="shared" si="26" ref="F72:K72">100*F11/1000</f>
        <v>32000</v>
      </c>
      <c r="G72" s="5">
        <f t="shared" si="26"/>
        <v>32000</v>
      </c>
      <c r="H72" s="5">
        <f t="shared" si="26"/>
        <v>32000</v>
      </c>
      <c r="I72" s="5">
        <f t="shared" si="26"/>
        <v>32000</v>
      </c>
      <c r="J72" s="5">
        <f t="shared" si="26"/>
        <v>41000</v>
      </c>
      <c r="K72" s="5">
        <f t="shared" si="26"/>
        <v>40000</v>
      </c>
    </row>
    <row r="73" spans="1:11" ht="15">
      <c r="A73" s="5" t="s">
        <v>35</v>
      </c>
      <c r="B73" s="5"/>
      <c r="C73" s="5"/>
      <c r="D73" s="5"/>
      <c r="E73" s="5">
        <f>150*E11/1000</f>
        <v>64500</v>
      </c>
      <c r="F73" s="5">
        <f aca="true" t="shared" si="27" ref="F73:K73">150*F11/1000</f>
        <v>48000</v>
      </c>
      <c r="G73" s="5">
        <f t="shared" si="27"/>
        <v>48000</v>
      </c>
      <c r="H73" s="5">
        <f t="shared" si="27"/>
        <v>48000</v>
      </c>
      <c r="I73" s="5">
        <f t="shared" si="27"/>
        <v>48000</v>
      </c>
      <c r="J73" s="5">
        <f t="shared" si="27"/>
        <v>61500</v>
      </c>
      <c r="K73" s="5">
        <f t="shared" si="27"/>
        <v>60000</v>
      </c>
    </row>
    <row r="74" spans="1:11" ht="15">
      <c r="A74" s="5" t="s">
        <v>36</v>
      </c>
      <c r="B74" s="5"/>
      <c r="C74" s="5"/>
      <c r="D74" s="5"/>
      <c r="E74" s="5">
        <f>50*E11/1000</f>
        <v>21500</v>
      </c>
      <c r="F74" s="5">
        <f aca="true" t="shared" si="28" ref="F74:K74">50*F11/1000</f>
        <v>16000</v>
      </c>
      <c r="G74" s="5">
        <f t="shared" si="28"/>
        <v>16000</v>
      </c>
      <c r="H74" s="5">
        <f t="shared" si="28"/>
        <v>16000</v>
      </c>
      <c r="I74" s="5">
        <f t="shared" si="28"/>
        <v>16000</v>
      </c>
      <c r="J74" s="5">
        <f t="shared" si="28"/>
        <v>20500</v>
      </c>
      <c r="K74" s="5">
        <f t="shared" si="28"/>
        <v>20000</v>
      </c>
    </row>
    <row r="75" spans="1:11" ht="15">
      <c r="A75" s="5" t="s">
        <v>49</v>
      </c>
      <c r="B75" s="5"/>
      <c r="C75" s="5"/>
      <c r="D75" s="5"/>
      <c r="E75" s="5">
        <f>60*E11/1000</f>
        <v>25800</v>
      </c>
      <c r="F75" s="5">
        <f aca="true" t="shared" si="29" ref="F75:K75">60*F11/1000</f>
        <v>19200</v>
      </c>
      <c r="G75" s="5">
        <f t="shared" si="29"/>
        <v>19200</v>
      </c>
      <c r="H75" s="5">
        <f t="shared" si="29"/>
        <v>19200</v>
      </c>
      <c r="I75" s="5">
        <f t="shared" si="29"/>
        <v>19200</v>
      </c>
      <c r="J75" s="5">
        <f t="shared" si="29"/>
        <v>24600</v>
      </c>
      <c r="K75" s="5">
        <f t="shared" si="29"/>
        <v>24000</v>
      </c>
    </row>
    <row r="76" spans="1:11" ht="15.75" thickBot="1">
      <c r="A76" s="28" t="s">
        <v>50</v>
      </c>
      <c r="B76" s="28"/>
      <c r="C76" s="28"/>
      <c r="D76" s="28"/>
      <c r="E76" s="28">
        <v>50000</v>
      </c>
      <c r="F76" s="28">
        <v>50000</v>
      </c>
      <c r="G76" s="28">
        <v>50000</v>
      </c>
      <c r="H76" s="28">
        <v>50000</v>
      </c>
      <c r="I76" s="28">
        <v>50000</v>
      </c>
      <c r="J76" s="28">
        <v>50000</v>
      </c>
      <c r="K76" s="28">
        <v>50000</v>
      </c>
    </row>
    <row r="77" spans="1:11" ht="15.75" thickBot="1">
      <c r="A77" s="29" t="s">
        <v>51</v>
      </c>
      <c r="B77" s="30"/>
      <c r="C77" s="30"/>
      <c r="D77" s="30"/>
      <c r="E77" s="30">
        <f>E72+E73+E74+E75+E76</f>
        <v>204800</v>
      </c>
      <c r="F77" s="30">
        <f aca="true" t="shared" si="30" ref="F77:K77">F72+F73+F74+F75+F76</f>
        <v>165200</v>
      </c>
      <c r="G77" s="30">
        <f t="shared" si="30"/>
        <v>165200</v>
      </c>
      <c r="H77" s="30">
        <f t="shared" si="30"/>
        <v>165200</v>
      </c>
      <c r="I77" s="30">
        <f t="shared" si="30"/>
        <v>165200</v>
      </c>
      <c r="J77" s="30">
        <f t="shared" si="30"/>
        <v>197600</v>
      </c>
      <c r="K77" s="30">
        <f t="shared" si="30"/>
        <v>194000</v>
      </c>
    </row>
    <row r="78" spans="1:11" ht="15.75" thickBo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1" ht="15.75" thickBot="1">
      <c r="A79" s="31" t="s">
        <v>52</v>
      </c>
      <c r="B79" s="32"/>
      <c r="C79" s="32"/>
      <c r="D79" s="32"/>
      <c r="E79" s="32">
        <f>E77+E70+E68</f>
        <v>3552300</v>
      </c>
      <c r="F79" s="32">
        <f aca="true" t="shared" si="31" ref="F79:K79">F77+F70+F68</f>
        <v>5969950</v>
      </c>
      <c r="G79" s="32">
        <f t="shared" si="31"/>
        <v>5003200</v>
      </c>
      <c r="H79" s="32">
        <f t="shared" si="31"/>
        <v>3725200</v>
      </c>
      <c r="I79" s="32">
        <f t="shared" si="31"/>
        <v>3725200</v>
      </c>
      <c r="J79" s="32">
        <f t="shared" si="31"/>
        <v>4317850</v>
      </c>
      <c r="K79" s="32">
        <f t="shared" si="31"/>
        <v>4472500</v>
      </c>
    </row>
    <row r="80" spans="1:11" ht="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1:11" ht="15">
      <c r="A81" s="2" t="s">
        <v>14</v>
      </c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1:11" ht="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1:11" ht="15">
      <c r="A83" s="5" t="s">
        <v>53</v>
      </c>
      <c r="B83" s="5"/>
      <c r="C83" s="5"/>
      <c r="D83" s="5"/>
      <c r="E83" s="5">
        <f>D7*D39*17%/1000</f>
        <v>2074000.0000000002</v>
      </c>
      <c r="F83" s="5">
        <f aca="true" t="shared" si="32" ref="F83:K83">E7*E39*17%/1000</f>
        <v>2176000</v>
      </c>
      <c r="G83" s="5">
        <f t="shared" si="32"/>
        <v>2176000</v>
      </c>
      <c r="H83" s="5">
        <f t="shared" si="32"/>
        <v>2176000</v>
      </c>
      <c r="I83" s="5">
        <f t="shared" si="32"/>
        <v>2176000</v>
      </c>
      <c r="J83" s="5">
        <f t="shared" si="32"/>
        <v>2176000</v>
      </c>
      <c r="K83" s="5">
        <f t="shared" si="32"/>
        <v>2176000</v>
      </c>
    </row>
    <row r="84" spans="1:11" ht="15">
      <c r="A84" s="5" t="s">
        <v>54</v>
      </c>
      <c r="B84" s="5"/>
      <c r="C84" s="5"/>
      <c r="D84" s="5"/>
      <c r="E84" s="5">
        <f>D7*D39*7%/1000</f>
        <v>854000.0000000001</v>
      </c>
      <c r="F84" s="5">
        <f aca="true" t="shared" si="33" ref="F84:K84">E7*E39*7%/1000</f>
        <v>896000.0000000001</v>
      </c>
      <c r="G84" s="5">
        <f t="shared" si="33"/>
        <v>896000.0000000001</v>
      </c>
      <c r="H84" s="5">
        <f t="shared" si="33"/>
        <v>896000.0000000001</v>
      </c>
      <c r="I84" s="5">
        <f t="shared" si="33"/>
        <v>896000.0000000001</v>
      </c>
      <c r="J84" s="5">
        <f t="shared" si="33"/>
        <v>896000.0000000001</v>
      </c>
      <c r="K84" s="5">
        <f t="shared" si="33"/>
        <v>896000.0000000001</v>
      </c>
    </row>
    <row r="85" spans="1:11" ht="15">
      <c r="A85" s="5" t="s">
        <v>55</v>
      </c>
      <c r="B85" s="5"/>
      <c r="C85" s="5"/>
      <c r="D85" s="5"/>
      <c r="E85" s="5">
        <f>D7*D39*7%/1000</f>
        <v>854000.0000000001</v>
      </c>
      <c r="F85" s="5">
        <f aca="true" t="shared" si="34" ref="F85:K85">E7*E39*7%/1000</f>
        <v>896000.0000000001</v>
      </c>
      <c r="G85" s="5">
        <f t="shared" si="34"/>
        <v>896000.0000000001</v>
      </c>
      <c r="H85" s="5">
        <f t="shared" si="34"/>
        <v>896000.0000000001</v>
      </c>
      <c r="I85" s="5">
        <f t="shared" si="34"/>
        <v>896000.0000000001</v>
      </c>
      <c r="J85" s="5">
        <f t="shared" si="34"/>
        <v>896000.0000000001</v>
      </c>
      <c r="K85" s="5">
        <f t="shared" si="34"/>
        <v>896000.0000000001</v>
      </c>
    </row>
    <row r="86" spans="1:11" ht="15">
      <c r="A86" s="5" t="s">
        <v>56</v>
      </c>
      <c r="B86" s="5"/>
      <c r="C86" s="5"/>
      <c r="D86" s="5"/>
      <c r="E86" s="5">
        <f>(5000000+(D7*D39*3%))/1000</f>
        <v>371000</v>
      </c>
      <c r="F86" s="5">
        <f aca="true" t="shared" si="35" ref="F86:K86">(5000000+(E7*E39*3%))/1000</f>
        <v>389000</v>
      </c>
      <c r="G86" s="5">
        <f t="shared" si="35"/>
        <v>389000</v>
      </c>
      <c r="H86" s="5">
        <f t="shared" si="35"/>
        <v>389000</v>
      </c>
      <c r="I86" s="5">
        <f t="shared" si="35"/>
        <v>389000</v>
      </c>
      <c r="J86" s="5">
        <f t="shared" si="35"/>
        <v>389000</v>
      </c>
      <c r="K86" s="5">
        <f t="shared" si="35"/>
        <v>389000</v>
      </c>
    </row>
    <row r="87" spans="1:11" ht="15.75" thickBo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</row>
    <row r="88" spans="1:11" ht="15.75" thickBot="1">
      <c r="A88" s="31" t="s">
        <v>57</v>
      </c>
      <c r="B88" s="32"/>
      <c r="C88" s="32"/>
      <c r="D88" s="32"/>
      <c r="E88" s="32">
        <f>E83+E84+E85+E86</f>
        <v>4153000.0000000005</v>
      </c>
      <c r="F88" s="32">
        <f aca="true" t="shared" si="36" ref="F88:K88">F83+F84+F85+F86</f>
        <v>4357000</v>
      </c>
      <c r="G88" s="32">
        <f t="shared" si="36"/>
        <v>4357000</v>
      </c>
      <c r="H88" s="32">
        <f t="shared" si="36"/>
        <v>4357000</v>
      </c>
      <c r="I88" s="32">
        <f t="shared" si="36"/>
        <v>4357000</v>
      </c>
      <c r="J88" s="32">
        <f t="shared" si="36"/>
        <v>4357000</v>
      </c>
      <c r="K88" s="32">
        <f t="shared" si="36"/>
        <v>4357000</v>
      </c>
    </row>
    <row r="89" spans="1:11" ht="15">
      <c r="A89" s="45"/>
      <c r="B89" s="46"/>
      <c r="C89" s="46"/>
      <c r="D89" s="46"/>
      <c r="E89" s="46"/>
      <c r="F89" s="46"/>
      <c r="G89" s="46"/>
      <c r="H89" s="46"/>
      <c r="I89" s="46"/>
      <c r="J89" s="46"/>
      <c r="K89" s="47"/>
    </row>
    <row r="90" spans="1:11" ht="15">
      <c r="A90" s="48" t="s">
        <v>58</v>
      </c>
      <c r="B90" s="49"/>
      <c r="C90" s="49"/>
      <c r="D90" s="49"/>
      <c r="E90" s="49"/>
      <c r="F90" s="49"/>
      <c r="G90" s="49"/>
      <c r="H90" s="49"/>
      <c r="I90" s="49"/>
      <c r="J90" s="49"/>
      <c r="K90" s="50"/>
    </row>
    <row r="91" spans="1:11" ht="15">
      <c r="A91" s="48"/>
      <c r="B91" s="49"/>
      <c r="C91" s="49"/>
      <c r="D91" s="49"/>
      <c r="E91" s="49"/>
      <c r="F91" s="49"/>
      <c r="G91" s="49"/>
      <c r="H91" s="49"/>
      <c r="I91" s="49"/>
      <c r="J91" s="49"/>
      <c r="K91" s="50"/>
    </row>
    <row r="92" spans="1:11" ht="15">
      <c r="A92" s="5" t="s">
        <v>59</v>
      </c>
      <c r="B92" s="5"/>
      <c r="C92" s="5"/>
      <c r="D92" s="5"/>
      <c r="E92" s="5">
        <v>15000</v>
      </c>
      <c r="F92" s="5">
        <v>15000</v>
      </c>
      <c r="G92" s="5">
        <v>15000</v>
      </c>
      <c r="H92" s="5">
        <v>15000</v>
      </c>
      <c r="I92" s="5">
        <v>15000</v>
      </c>
      <c r="J92" s="5">
        <v>15000</v>
      </c>
      <c r="K92" s="5">
        <v>15000</v>
      </c>
    </row>
    <row r="93" spans="1:11" ht="15">
      <c r="A93" s="5" t="s">
        <v>60</v>
      </c>
      <c r="B93" s="5"/>
      <c r="C93" s="5"/>
      <c r="D93" s="5"/>
      <c r="E93" s="5">
        <v>10000</v>
      </c>
      <c r="F93" s="5">
        <v>10000</v>
      </c>
      <c r="G93" s="5">
        <v>10000</v>
      </c>
      <c r="H93" s="5">
        <v>10000</v>
      </c>
      <c r="I93" s="5">
        <v>10000</v>
      </c>
      <c r="J93" s="5">
        <v>10000</v>
      </c>
      <c r="K93" s="5">
        <v>10000</v>
      </c>
    </row>
    <row r="94" spans="1:11" ht="15">
      <c r="A94" s="5" t="s">
        <v>61</v>
      </c>
      <c r="B94" s="5"/>
      <c r="C94" s="5"/>
      <c r="D94" s="5"/>
      <c r="E94" s="5">
        <v>2000</v>
      </c>
      <c r="F94" s="5">
        <v>2000</v>
      </c>
      <c r="G94" s="5">
        <v>2000</v>
      </c>
      <c r="H94" s="5">
        <v>2000</v>
      </c>
      <c r="I94" s="5">
        <v>2000</v>
      </c>
      <c r="J94" s="5">
        <v>2000</v>
      </c>
      <c r="K94" s="5">
        <v>2000</v>
      </c>
    </row>
    <row r="95" spans="1:11" ht="15">
      <c r="A95" s="5" t="s">
        <v>62</v>
      </c>
      <c r="B95" s="5"/>
      <c r="C95" s="5"/>
      <c r="D95" s="5"/>
      <c r="E95" s="5">
        <v>8000</v>
      </c>
      <c r="F95" s="5">
        <v>8000</v>
      </c>
      <c r="G95" s="5">
        <v>8000</v>
      </c>
      <c r="H95" s="5">
        <v>8000</v>
      </c>
      <c r="I95" s="5">
        <v>8000</v>
      </c>
      <c r="J95" s="5">
        <v>8000</v>
      </c>
      <c r="K95" s="5">
        <v>8000</v>
      </c>
    </row>
    <row r="96" spans="1:11" ht="15">
      <c r="A96" s="48"/>
      <c r="B96" s="49"/>
      <c r="C96" s="49"/>
      <c r="D96" s="49"/>
      <c r="E96" s="49"/>
      <c r="F96" s="49"/>
      <c r="G96" s="49"/>
      <c r="H96" s="49"/>
      <c r="I96" s="49"/>
      <c r="J96" s="49"/>
      <c r="K96" s="50"/>
    </row>
    <row r="97" spans="1:11" ht="15">
      <c r="A97" s="51" t="s">
        <v>63</v>
      </c>
      <c r="B97" s="51"/>
      <c r="C97" s="51"/>
      <c r="D97" s="51"/>
      <c r="E97" s="51">
        <f>SUM(E92:E96)</f>
        <v>35000</v>
      </c>
      <c r="F97" s="51">
        <f aca="true" t="shared" si="37" ref="F97:K97">SUM(F92:F96)</f>
        <v>35000</v>
      </c>
      <c r="G97" s="51">
        <f t="shared" si="37"/>
        <v>35000</v>
      </c>
      <c r="H97" s="51">
        <f t="shared" si="37"/>
        <v>35000</v>
      </c>
      <c r="I97" s="51">
        <f t="shared" si="37"/>
        <v>35000</v>
      </c>
      <c r="J97" s="51">
        <f t="shared" si="37"/>
        <v>35000</v>
      </c>
      <c r="K97" s="51">
        <f t="shared" si="37"/>
        <v>35000</v>
      </c>
    </row>
    <row r="98" spans="1:11" ht="15">
      <c r="A98" s="52" t="s">
        <v>64</v>
      </c>
      <c r="B98" s="52"/>
      <c r="C98" s="52"/>
      <c r="D98" s="52"/>
      <c r="E98" s="52">
        <f>E79+E88+E97</f>
        <v>7740300</v>
      </c>
      <c r="F98" s="52">
        <f aca="true" t="shared" si="38" ref="F98:K98">F79+F88+F97</f>
        <v>10361950</v>
      </c>
      <c r="G98" s="52">
        <f t="shared" si="38"/>
        <v>9395200</v>
      </c>
      <c r="H98" s="52">
        <f t="shared" si="38"/>
        <v>8117200</v>
      </c>
      <c r="I98" s="52">
        <f t="shared" si="38"/>
        <v>8117200</v>
      </c>
      <c r="J98" s="52">
        <f t="shared" si="38"/>
        <v>8709850</v>
      </c>
      <c r="K98" s="52">
        <f t="shared" si="38"/>
        <v>8864500</v>
      </c>
    </row>
    <row r="100" spans="1:11" ht="15">
      <c r="A100" s="53" t="s">
        <v>65</v>
      </c>
      <c r="B100" s="53"/>
      <c r="C100" s="53"/>
      <c r="D100" s="53"/>
      <c r="E100" s="53">
        <f>E58-E98</f>
        <v>3459700</v>
      </c>
      <c r="F100" s="53">
        <f aca="true" t="shared" si="39" ref="F100:K100">F58-F98</f>
        <v>1838050</v>
      </c>
      <c r="G100" s="53">
        <f t="shared" si="39"/>
        <v>3404800</v>
      </c>
      <c r="H100" s="53">
        <f t="shared" si="39"/>
        <v>4682800</v>
      </c>
      <c r="I100" s="53">
        <f t="shared" si="39"/>
        <v>4682800</v>
      </c>
      <c r="J100" s="53">
        <f t="shared" si="39"/>
        <v>4090150</v>
      </c>
      <c r="K100" s="53">
        <f t="shared" si="39"/>
        <v>3935500</v>
      </c>
    </row>
    <row r="101" spans="1:11" ht="15">
      <c r="A101" s="53" t="s">
        <v>66</v>
      </c>
      <c r="B101" s="53"/>
      <c r="C101" s="53"/>
      <c r="D101" s="53">
        <v>500000</v>
      </c>
      <c r="E101" s="53">
        <f>E100+D101</f>
        <v>3959700</v>
      </c>
      <c r="F101" s="53">
        <f aca="true" t="shared" si="40" ref="F101:K101">F100+E101</f>
        <v>5797750</v>
      </c>
      <c r="G101" s="53">
        <f t="shared" si="40"/>
        <v>9202550</v>
      </c>
      <c r="H101" s="53">
        <f t="shared" si="40"/>
        <v>13885350</v>
      </c>
      <c r="I101" s="53">
        <f t="shared" si="40"/>
        <v>18568150</v>
      </c>
      <c r="J101" s="53">
        <f t="shared" si="40"/>
        <v>22658300</v>
      </c>
      <c r="K101" s="53">
        <f t="shared" si="40"/>
        <v>26593800</v>
      </c>
    </row>
  </sheetData>
  <sheetProtection/>
  <mergeCells count="6">
    <mergeCell ref="B4:D4"/>
    <mergeCell ref="E4:K4"/>
    <mergeCell ref="A1:K1"/>
    <mergeCell ref="A2:K2"/>
    <mergeCell ref="A37:K37"/>
    <mergeCell ref="A51:K51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2"/>
  <sheetViews>
    <sheetView tabSelected="1" zoomScale="120" zoomScaleNormal="120" zoomScalePageLayoutView="0" workbookViewId="0" topLeftCell="A67">
      <selection activeCell="D83" sqref="D83"/>
    </sheetView>
  </sheetViews>
  <sheetFormatPr defaultColWidth="11.421875" defaultRowHeight="15"/>
  <cols>
    <col min="1" max="1" width="25.57421875" style="1" customWidth="1"/>
    <col min="2" max="2" width="8.8515625" style="1" customWidth="1"/>
    <col min="3" max="3" width="10.8515625" style="1" customWidth="1"/>
    <col min="4" max="4" width="12.7109375" style="1" customWidth="1"/>
    <col min="5" max="5" width="13.7109375" style="1" bestFit="1" customWidth="1"/>
    <col min="6" max="8" width="11.421875" style="1" customWidth="1"/>
    <col min="9" max="9" width="12.57421875" style="1" customWidth="1"/>
    <col min="10" max="10" width="13.57421875" style="1" customWidth="1"/>
    <col min="11" max="11" width="14.7109375" style="1" customWidth="1"/>
    <col min="12" max="16384" width="11.421875" style="1" customWidth="1"/>
  </cols>
  <sheetData>
    <row r="1" spans="1:11" ht="15">
      <c r="A1" s="55"/>
      <c r="B1" s="56" t="s">
        <v>5</v>
      </c>
      <c r="C1" s="56"/>
      <c r="D1" s="56"/>
      <c r="E1" s="57" t="s">
        <v>13</v>
      </c>
      <c r="F1" s="57"/>
      <c r="G1" s="57"/>
      <c r="H1" s="57"/>
      <c r="I1" s="57"/>
      <c r="J1" s="57"/>
      <c r="K1" s="57"/>
    </row>
    <row r="2" spans="1:11" ht="15">
      <c r="A2" s="55" t="s">
        <v>1</v>
      </c>
      <c r="B2" s="4" t="s">
        <v>2</v>
      </c>
      <c r="C2" s="4" t="s">
        <v>3</v>
      </c>
      <c r="D2" s="4" t="s">
        <v>4</v>
      </c>
      <c r="E2" s="5" t="s">
        <v>6</v>
      </c>
      <c r="F2" s="5" t="s">
        <v>7</v>
      </c>
      <c r="G2" s="5" t="s">
        <v>8</v>
      </c>
      <c r="H2" s="5" t="s">
        <v>9</v>
      </c>
      <c r="I2" s="5" t="s">
        <v>10</v>
      </c>
      <c r="J2" s="5" t="s">
        <v>11</v>
      </c>
      <c r="K2" s="5" t="s">
        <v>12</v>
      </c>
    </row>
    <row r="3" spans="1:11" ht="15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</row>
    <row r="4" spans="1:12" ht="15">
      <c r="A4" s="22" t="s">
        <v>14</v>
      </c>
      <c r="B4" s="22">
        <v>3000</v>
      </c>
      <c r="C4" s="22">
        <v>4000</v>
      </c>
      <c r="D4" s="22">
        <v>5000</v>
      </c>
      <c r="E4" s="22">
        <v>7000</v>
      </c>
      <c r="F4" s="22">
        <v>6000</v>
      </c>
      <c r="G4" s="22">
        <v>6000</v>
      </c>
      <c r="H4" s="22">
        <v>5000</v>
      </c>
      <c r="I4" s="22">
        <v>6000</v>
      </c>
      <c r="J4" s="22">
        <v>7000</v>
      </c>
      <c r="K4" s="22">
        <v>7000</v>
      </c>
      <c r="L4" s="1">
        <v>6000</v>
      </c>
    </row>
    <row r="5" spans="1:11" ht="1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</row>
    <row r="6" spans="1:11" ht="15">
      <c r="A6" s="22" t="s">
        <v>15</v>
      </c>
      <c r="B6" s="22">
        <v>5000</v>
      </c>
      <c r="C6" s="22">
        <v>2500</v>
      </c>
      <c r="D6" s="22">
        <v>3000</v>
      </c>
      <c r="E6" s="22">
        <f>E4*15/30</f>
        <v>3500</v>
      </c>
      <c r="F6" s="22">
        <f aca="true" t="shared" si="0" ref="F6:K6">F4*15/30</f>
        <v>3000</v>
      </c>
      <c r="G6" s="22">
        <f t="shared" si="0"/>
        <v>3000</v>
      </c>
      <c r="H6" s="22">
        <f t="shared" si="0"/>
        <v>2500</v>
      </c>
      <c r="I6" s="22">
        <f t="shared" si="0"/>
        <v>3000</v>
      </c>
      <c r="J6" s="22">
        <f t="shared" si="0"/>
        <v>3500</v>
      </c>
      <c r="K6" s="22">
        <f t="shared" si="0"/>
        <v>3500</v>
      </c>
    </row>
    <row r="7" spans="1:11" ht="15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</row>
    <row r="8" spans="1:12" ht="15.75" thickBot="1">
      <c r="A8" s="22" t="s">
        <v>21</v>
      </c>
      <c r="B8" s="22">
        <v>7000</v>
      </c>
      <c r="C8" s="22">
        <v>8000</v>
      </c>
      <c r="D8" s="22">
        <f>D6-C6+D4</f>
        <v>5500</v>
      </c>
      <c r="E8" s="22">
        <f>E4+E6-D6</f>
        <v>7500</v>
      </c>
      <c r="F8" s="22">
        <f aca="true" t="shared" si="1" ref="F8:K8">F4+F6-E6</f>
        <v>5500</v>
      </c>
      <c r="G8" s="22">
        <f t="shared" si="1"/>
        <v>6000</v>
      </c>
      <c r="H8" s="22">
        <f t="shared" si="1"/>
        <v>4500</v>
      </c>
      <c r="I8" s="22">
        <f t="shared" si="1"/>
        <v>6500</v>
      </c>
      <c r="J8" s="22">
        <f t="shared" si="1"/>
        <v>7500</v>
      </c>
      <c r="K8" s="22">
        <f t="shared" si="1"/>
        <v>7000</v>
      </c>
      <c r="L8" s="3"/>
    </row>
    <row r="9" spans="1:11" ht="15">
      <c r="A9" s="55"/>
      <c r="B9" s="55"/>
      <c r="C9" s="55"/>
      <c r="D9" s="55"/>
      <c r="E9" s="55"/>
      <c r="F9" s="55"/>
      <c r="G9" s="55"/>
      <c r="H9" s="55"/>
      <c r="I9" s="55"/>
      <c r="J9" s="55"/>
      <c r="K9" s="55"/>
    </row>
    <row r="10" spans="1:11" ht="15">
      <c r="A10" s="20" t="s">
        <v>16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</row>
    <row r="11" spans="1:11" ht="15">
      <c r="A11" s="20" t="s">
        <v>17</v>
      </c>
      <c r="B11" s="20"/>
      <c r="C11" s="20">
        <v>500</v>
      </c>
      <c r="D11" s="20">
        <v>2000</v>
      </c>
      <c r="E11" s="20">
        <f>E$8*0.6*15/30</f>
        <v>2250</v>
      </c>
      <c r="F11" s="20">
        <f aca="true" t="shared" si="2" ref="F11:K11">F$8*0.6*15/30</f>
        <v>1650</v>
      </c>
      <c r="G11" s="20">
        <f t="shared" si="2"/>
        <v>1800</v>
      </c>
      <c r="H11" s="20">
        <f t="shared" si="2"/>
        <v>1350</v>
      </c>
      <c r="I11" s="20">
        <f t="shared" si="2"/>
        <v>1950</v>
      </c>
      <c r="J11" s="20">
        <f t="shared" si="2"/>
        <v>2250</v>
      </c>
      <c r="K11" s="20">
        <f t="shared" si="2"/>
        <v>2100</v>
      </c>
    </row>
    <row r="12" spans="1:11" ht="15">
      <c r="A12" s="20" t="s">
        <v>18</v>
      </c>
      <c r="B12" s="20"/>
      <c r="C12" s="20">
        <v>300</v>
      </c>
      <c r="D12" s="20">
        <v>500</v>
      </c>
      <c r="E12" s="20">
        <f>E$8*0.25*15/30</f>
        <v>937.5</v>
      </c>
      <c r="F12" s="20">
        <f aca="true" t="shared" si="3" ref="F12:K12">F$8*0.25*15/30</f>
        <v>687.5</v>
      </c>
      <c r="G12" s="20">
        <f t="shared" si="3"/>
        <v>750</v>
      </c>
      <c r="H12" s="20">
        <f t="shared" si="3"/>
        <v>562.5</v>
      </c>
      <c r="I12" s="20">
        <f t="shared" si="3"/>
        <v>812.5</v>
      </c>
      <c r="J12" s="20">
        <f t="shared" si="3"/>
        <v>937.5</v>
      </c>
      <c r="K12" s="20">
        <f t="shared" si="3"/>
        <v>875</v>
      </c>
    </row>
    <row r="13" spans="1:11" ht="15">
      <c r="A13" s="20" t="s">
        <v>19</v>
      </c>
      <c r="B13" s="20"/>
      <c r="C13" s="20">
        <v>300</v>
      </c>
      <c r="D13" s="20">
        <v>500</v>
      </c>
      <c r="E13" s="20">
        <f>E$8*0.15*15/30</f>
        <v>562.5</v>
      </c>
      <c r="F13" s="20">
        <f aca="true" t="shared" si="4" ref="F13:K13">F$8*0.15*15/30</f>
        <v>412.5</v>
      </c>
      <c r="G13" s="20">
        <f t="shared" si="4"/>
        <v>450</v>
      </c>
      <c r="H13" s="20">
        <f t="shared" si="4"/>
        <v>337.5</v>
      </c>
      <c r="I13" s="20">
        <f t="shared" si="4"/>
        <v>487.5</v>
      </c>
      <c r="J13" s="20">
        <f t="shared" si="4"/>
        <v>562.5</v>
      </c>
      <c r="K13" s="20">
        <f t="shared" si="4"/>
        <v>525</v>
      </c>
    </row>
    <row r="14" spans="1:11" ht="15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</row>
    <row r="15" spans="1:11" ht="15">
      <c r="A15" s="20" t="s">
        <v>27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</row>
    <row r="16" spans="1:11" ht="15">
      <c r="A16" s="20" t="s">
        <v>17</v>
      </c>
      <c r="B16" s="20"/>
      <c r="C16" s="20"/>
      <c r="D16" s="20">
        <f>(0.6*D$8)+D11-C11</f>
        <v>4800</v>
      </c>
      <c r="E16" s="20">
        <f>(E$8*0.6)+E11-D11</f>
        <v>4750</v>
      </c>
      <c r="F16" s="20">
        <f aca="true" t="shared" si="5" ref="F16:K16">(F8*0.6)+F11-E11</f>
        <v>2700</v>
      </c>
      <c r="G16" s="20">
        <f t="shared" si="5"/>
        <v>3750</v>
      </c>
      <c r="H16" s="20">
        <f t="shared" si="5"/>
        <v>2250</v>
      </c>
      <c r="I16" s="20">
        <f t="shared" si="5"/>
        <v>4500</v>
      </c>
      <c r="J16" s="20">
        <f t="shared" si="5"/>
        <v>4800</v>
      </c>
      <c r="K16" s="20">
        <f t="shared" si="5"/>
        <v>4050</v>
      </c>
    </row>
    <row r="17" spans="1:11" ht="15">
      <c r="A17" s="20" t="s">
        <v>18</v>
      </c>
      <c r="B17" s="20"/>
      <c r="C17" s="20"/>
      <c r="D17" s="20">
        <f>(0.25*D$8)+D12-C12</f>
        <v>1575</v>
      </c>
      <c r="E17" s="20">
        <f>(E$8*0.25)+E12-D12</f>
        <v>2312.5</v>
      </c>
      <c r="F17" s="20">
        <f aca="true" t="shared" si="6" ref="F17:K17">(F$8*0.25)+F12-E12</f>
        <v>1125</v>
      </c>
      <c r="G17" s="20">
        <f t="shared" si="6"/>
        <v>1562.5</v>
      </c>
      <c r="H17" s="20">
        <f t="shared" si="6"/>
        <v>937.5</v>
      </c>
      <c r="I17" s="20">
        <f t="shared" si="6"/>
        <v>1875</v>
      </c>
      <c r="J17" s="20">
        <f t="shared" si="6"/>
        <v>2000</v>
      </c>
      <c r="K17" s="20">
        <f t="shared" si="6"/>
        <v>1687.5</v>
      </c>
    </row>
    <row r="18" spans="1:11" ht="15">
      <c r="A18" s="20" t="s">
        <v>19</v>
      </c>
      <c r="B18" s="20"/>
      <c r="C18" s="20"/>
      <c r="D18" s="20">
        <f>(0.15*D$8)+D13-C13</f>
        <v>1025</v>
      </c>
      <c r="E18" s="20">
        <f>(E$8*0.15)+E13-D13</f>
        <v>1187.5</v>
      </c>
      <c r="F18" s="20">
        <f aca="true" t="shared" si="7" ref="F18:K18">(F$8*0.15)+F13-E13</f>
        <v>675</v>
      </c>
      <c r="G18" s="20">
        <f t="shared" si="7"/>
        <v>937.5</v>
      </c>
      <c r="H18" s="20">
        <f t="shared" si="7"/>
        <v>562.5</v>
      </c>
      <c r="I18" s="20">
        <f t="shared" si="7"/>
        <v>1125</v>
      </c>
      <c r="J18" s="20">
        <f t="shared" si="7"/>
        <v>1200</v>
      </c>
      <c r="K18" s="20">
        <f t="shared" si="7"/>
        <v>1012.5</v>
      </c>
    </row>
    <row r="19" spans="1:11" ht="15">
      <c r="A19" s="55"/>
      <c r="B19" s="55"/>
      <c r="C19" s="55"/>
      <c r="D19" s="55"/>
      <c r="E19" s="55"/>
      <c r="F19" s="55"/>
      <c r="G19" s="55"/>
      <c r="H19" s="55"/>
      <c r="I19" s="55"/>
      <c r="J19" s="55"/>
      <c r="K19" s="55"/>
    </row>
    <row r="20" spans="1:11" ht="15">
      <c r="A20" s="20" t="s">
        <v>22</v>
      </c>
      <c r="B20" s="20"/>
      <c r="C20" s="20"/>
      <c r="D20" s="20">
        <v>200000</v>
      </c>
      <c r="E20" s="20">
        <f>E8*100*15/30</f>
        <v>375000</v>
      </c>
      <c r="F20" s="20">
        <f aca="true" t="shared" si="8" ref="F20:K20">F8*100*15/30</f>
        <v>275000</v>
      </c>
      <c r="G20" s="20">
        <f t="shared" si="8"/>
        <v>300000</v>
      </c>
      <c r="H20" s="20">
        <f t="shared" si="8"/>
        <v>225000</v>
      </c>
      <c r="I20" s="20">
        <f t="shared" si="8"/>
        <v>325000</v>
      </c>
      <c r="J20" s="20">
        <f t="shared" si="8"/>
        <v>375000</v>
      </c>
      <c r="K20" s="20">
        <f t="shared" si="8"/>
        <v>350000</v>
      </c>
    </row>
    <row r="21" spans="1:11" ht="15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</row>
    <row r="22" spans="1:11" ht="15">
      <c r="A22" s="20" t="s">
        <v>28</v>
      </c>
      <c r="B22" s="20"/>
      <c r="C22" s="20">
        <v>300000</v>
      </c>
      <c r="D22" s="20">
        <v>100000</v>
      </c>
      <c r="E22" s="20">
        <f>(E8*100)+E20-D20</f>
        <v>925000</v>
      </c>
      <c r="F22" s="20">
        <f aca="true" t="shared" si="9" ref="F22:K22">(F8*100)+F20-E20</f>
        <v>450000</v>
      </c>
      <c r="G22" s="20">
        <f t="shared" si="9"/>
        <v>625000</v>
      </c>
      <c r="H22" s="20">
        <f t="shared" si="9"/>
        <v>375000</v>
      </c>
      <c r="I22" s="20">
        <f t="shared" si="9"/>
        <v>750000</v>
      </c>
      <c r="J22" s="20">
        <f t="shared" si="9"/>
        <v>800000</v>
      </c>
      <c r="K22" s="20">
        <f t="shared" si="9"/>
        <v>675000</v>
      </c>
    </row>
    <row r="23" spans="1:11" ht="15">
      <c r="A23" s="55"/>
      <c r="B23" s="55"/>
      <c r="C23" s="55"/>
      <c r="D23" s="55"/>
      <c r="E23" s="55"/>
      <c r="F23" s="55"/>
      <c r="G23" s="55"/>
      <c r="H23" s="55"/>
      <c r="I23" s="55"/>
      <c r="J23" s="55"/>
      <c r="K23" s="55"/>
    </row>
    <row r="24" spans="1:11" ht="15">
      <c r="A24" s="61" t="s">
        <v>30</v>
      </c>
      <c r="B24" s="61"/>
      <c r="C24" s="61"/>
      <c r="D24" s="61"/>
      <c r="E24" s="61"/>
      <c r="F24" s="61"/>
      <c r="G24" s="61"/>
      <c r="H24" s="61"/>
      <c r="I24" s="61"/>
      <c r="J24" s="61"/>
      <c r="K24" s="61"/>
    </row>
    <row r="25" spans="1:11" ht="15">
      <c r="A25" s="55"/>
      <c r="B25" s="55"/>
      <c r="C25" s="55"/>
      <c r="D25" s="55"/>
      <c r="E25" s="55"/>
      <c r="F25" s="55"/>
      <c r="G25" s="55"/>
      <c r="H25" s="55"/>
      <c r="I25" s="55"/>
      <c r="J25" s="55"/>
      <c r="K25" s="55"/>
    </row>
    <row r="26" spans="1:11" ht="15">
      <c r="A26" s="23" t="s">
        <v>31</v>
      </c>
      <c r="B26" s="23"/>
      <c r="C26" s="23">
        <v>15000</v>
      </c>
      <c r="D26" s="23">
        <v>15000</v>
      </c>
      <c r="E26" s="23">
        <v>15000</v>
      </c>
      <c r="F26" s="23">
        <v>15000</v>
      </c>
      <c r="G26" s="23">
        <v>15000</v>
      </c>
      <c r="H26" s="23">
        <v>15000</v>
      </c>
      <c r="I26" s="23">
        <v>15000</v>
      </c>
      <c r="J26" s="23">
        <v>15000</v>
      </c>
      <c r="K26" s="23">
        <v>15000</v>
      </c>
    </row>
    <row r="27" spans="1:11" ht="15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</row>
    <row r="28" spans="1:12" ht="15">
      <c r="A28" s="23" t="s">
        <v>17</v>
      </c>
      <c r="B28" s="23"/>
      <c r="C28" s="23">
        <v>3500</v>
      </c>
      <c r="D28" s="23">
        <v>3500</v>
      </c>
      <c r="E28" s="23">
        <v>3500</v>
      </c>
      <c r="F28" s="23">
        <v>3500</v>
      </c>
      <c r="G28" s="23">
        <v>3500</v>
      </c>
      <c r="H28" s="23">
        <v>3500</v>
      </c>
      <c r="I28" s="23">
        <v>3500</v>
      </c>
      <c r="J28" s="23">
        <v>3500</v>
      </c>
      <c r="K28" s="23">
        <v>3500</v>
      </c>
      <c r="L28" s="54">
        <v>3500</v>
      </c>
    </row>
    <row r="29" spans="1:12" ht="15">
      <c r="A29" s="23" t="s">
        <v>32</v>
      </c>
      <c r="B29" s="23"/>
      <c r="C29" s="23">
        <v>3000</v>
      </c>
      <c r="D29" s="23">
        <v>3000</v>
      </c>
      <c r="E29" s="23">
        <v>3000</v>
      </c>
      <c r="F29" s="23">
        <v>3000</v>
      </c>
      <c r="G29" s="23">
        <v>3000</v>
      </c>
      <c r="H29" s="23">
        <v>3000</v>
      </c>
      <c r="I29" s="23">
        <v>3000</v>
      </c>
      <c r="J29" s="23">
        <v>3000</v>
      </c>
      <c r="K29" s="23">
        <v>3000</v>
      </c>
      <c r="L29" s="1">
        <v>3000</v>
      </c>
    </row>
    <row r="30" spans="1:12" ht="15">
      <c r="A30" s="23" t="s">
        <v>33</v>
      </c>
      <c r="B30" s="23"/>
      <c r="C30" s="23">
        <v>2200</v>
      </c>
      <c r="D30" s="23">
        <v>2200</v>
      </c>
      <c r="E30" s="23">
        <v>2200</v>
      </c>
      <c r="F30" s="23">
        <v>2200</v>
      </c>
      <c r="G30" s="23">
        <v>2200</v>
      </c>
      <c r="H30" s="23">
        <v>2200</v>
      </c>
      <c r="I30" s="23">
        <v>2200</v>
      </c>
      <c r="J30" s="23">
        <v>2200</v>
      </c>
      <c r="K30" s="23">
        <v>2200</v>
      </c>
      <c r="L30" s="54">
        <v>2200</v>
      </c>
    </row>
    <row r="31" spans="1:12" ht="15">
      <c r="A31" s="23" t="s">
        <v>67</v>
      </c>
      <c r="B31" s="23"/>
      <c r="C31" s="23">
        <v>3000</v>
      </c>
      <c r="D31" s="23">
        <v>3000</v>
      </c>
      <c r="E31" s="23">
        <v>3000</v>
      </c>
      <c r="F31" s="23">
        <v>3000</v>
      </c>
      <c r="G31" s="23">
        <v>3000</v>
      </c>
      <c r="H31" s="23">
        <v>3000</v>
      </c>
      <c r="I31" s="23">
        <v>3000</v>
      </c>
      <c r="J31" s="23">
        <v>3000</v>
      </c>
      <c r="K31" s="23">
        <v>3000</v>
      </c>
      <c r="L31" s="24">
        <v>3000</v>
      </c>
    </row>
    <row r="33" spans="1:11" s="25" customFormat="1" ht="15">
      <c r="A33" s="60" t="s">
        <v>68</v>
      </c>
      <c r="B33" s="60"/>
      <c r="C33" s="60"/>
      <c r="D33" s="60"/>
      <c r="E33" s="60"/>
      <c r="F33" s="60"/>
      <c r="G33" s="60"/>
      <c r="H33" s="60"/>
      <c r="I33" s="60"/>
      <c r="J33" s="60"/>
      <c r="K33" s="60"/>
    </row>
    <row r="34" ht="15.75" thickBot="1"/>
    <row r="35" spans="1:11" ht="15">
      <c r="A35" s="26" t="s">
        <v>37</v>
      </c>
      <c r="B35" s="6"/>
      <c r="C35" s="6"/>
      <c r="D35" s="6"/>
      <c r="E35" s="6"/>
      <c r="F35" s="6"/>
      <c r="G35" s="6"/>
      <c r="H35" s="6"/>
      <c r="I35" s="6"/>
      <c r="J35" s="6"/>
      <c r="K35" s="7"/>
    </row>
    <row r="36" spans="1:11" ht="15">
      <c r="A36" s="8"/>
      <c r="B36" s="9"/>
      <c r="C36" s="9"/>
      <c r="D36" s="9"/>
      <c r="E36" s="9"/>
      <c r="F36" s="9"/>
      <c r="G36" s="9"/>
      <c r="H36" s="9"/>
      <c r="I36" s="9"/>
      <c r="J36" s="9"/>
      <c r="K36" s="10"/>
    </row>
    <row r="37" spans="1:11" ht="15">
      <c r="A37" s="27" t="s">
        <v>38</v>
      </c>
      <c r="B37" s="27"/>
      <c r="C37" s="27"/>
      <c r="D37" s="27">
        <v>60000000</v>
      </c>
      <c r="E37" s="27"/>
      <c r="F37" s="27"/>
      <c r="G37" s="27"/>
      <c r="H37" s="27"/>
      <c r="I37" s="27"/>
      <c r="J37" s="27"/>
      <c r="K37" s="27"/>
    </row>
    <row r="38" spans="1:11" ht="15">
      <c r="A38" s="27" t="s">
        <v>39</v>
      </c>
      <c r="B38" s="27"/>
      <c r="C38" s="27"/>
      <c r="D38" s="27">
        <v>0</v>
      </c>
      <c r="E38" s="27"/>
      <c r="F38" s="27"/>
      <c r="G38" s="27"/>
      <c r="H38" s="27"/>
      <c r="I38" s="27"/>
      <c r="J38" s="27"/>
      <c r="K38" s="27"/>
    </row>
    <row r="39" spans="1:11" ht="15">
      <c r="A39" s="8"/>
      <c r="B39" s="9"/>
      <c r="C39" s="9"/>
      <c r="D39" s="9"/>
      <c r="E39" s="9"/>
      <c r="F39" s="9"/>
      <c r="G39" s="9"/>
      <c r="H39" s="9"/>
      <c r="I39" s="9"/>
      <c r="J39" s="9"/>
      <c r="K39" s="9"/>
    </row>
    <row r="40" spans="1:11" ht="15">
      <c r="A40" s="52" t="s">
        <v>40</v>
      </c>
      <c r="B40" s="52"/>
      <c r="C40" s="52"/>
      <c r="D40" s="52">
        <f>D37+D38</f>
        <v>60000000</v>
      </c>
      <c r="E40" s="52"/>
      <c r="F40" s="52"/>
      <c r="G40" s="52"/>
      <c r="H40" s="52"/>
      <c r="I40" s="52"/>
      <c r="J40" s="52"/>
      <c r="K40" s="52"/>
    </row>
    <row r="42" ht="15">
      <c r="A42" s="21" t="s">
        <v>42</v>
      </c>
    </row>
    <row r="44" spans="1:11" ht="15">
      <c r="A44" s="2" t="s">
        <v>21</v>
      </c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1:11" ht="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1" ht="15">
      <c r="A46" s="5" t="s">
        <v>43</v>
      </c>
      <c r="B46" s="5"/>
      <c r="C46" s="5"/>
      <c r="D46" s="5">
        <v>12500000</v>
      </c>
      <c r="E46" s="5"/>
      <c r="F46" s="5"/>
      <c r="G46" s="5"/>
      <c r="H46" s="5"/>
      <c r="I46" s="5"/>
      <c r="J46" s="5"/>
      <c r="K46" s="5"/>
    </row>
    <row r="47" spans="1:11" ht="15">
      <c r="A47" s="5" t="s">
        <v>44</v>
      </c>
      <c r="B47" s="5"/>
      <c r="C47" s="5"/>
      <c r="D47" s="5">
        <v>5000000</v>
      </c>
      <c r="E47" s="5"/>
      <c r="F47" s="5"/>
      <c r="G47" s="5"/>
      <c r="H47" s="5"/>
      <c r="I47" s="5"/>
      <c r="J47" s="5"/>
      <c r="K47" s="5"/>
    </row>
    <row r="48" spans="1:11" ht="15.75" thickBot="1">
      <c r="A48" s="5" t="s">
        <v>45</v>
      </c>
      <c r="B48" s="5"/>
      <c r="C48" s="5"/>
      <c r="D48" s="5">
        <v>5000000</v>
      </c>
      <c r="E48" s="5"/>
      <c r="F48" s="5"/>
      <c r="G48" s="5"/>
      <c r="H48" s="5"/>
      <c r="I48" s="5"/>
      <c r="J48" s="5"/>
      <c r="K48" s="5"/>
    </row>
    <row r="49" spans="1:11" ht="15.75" thickBot="1">
      <c r="A49" s="29" t="s">
        <v>47</v>
      </c>
      <c r="B49" s="30"/>
      <c r="C49" s="30"/>
      <c r="D49" s="30">
        <f>D46+D47+D48</f>
        <v>22500000</v>
      </c>
      <c r="E49" s="30"/>
      <c r="F49" s="30"/>
      <c r="G49" s="30"/>
      <c r="H49" s="30"/>
      <c r="I49" s="30"/>
      <c r="J49" s="30"/>
      <c r="K49" s="30"/>
    </row>
    <row r="50" spans="1:11" ht="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1" ht="15">
      <c r="A51" s="5" t="s">
        <v>48</v>
      </c>
      <c r="B51" s="5"/>
      <c r="C51" s="5"/>
      <c r="D51" s="5">
        <f>C22</f>
        <v>300000</v>
      </c>
      <c r="E51" s="5"/>
      <c r="F51" s="5"/>
      <c r="G51" s="5"/>
      <c r="H51" s="5"/>
      <c r="I51" s="5"/>
      <c r="J51" s="5"/>
      <c r="K51" s="5"/>
    </row>
    <row r="52" spans="1:11" ht="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ht="15">
      <c r="A53" s="5" t="s">
        <v>34</v>
      </c>
      <c r="B53" s="5"/>
      <c r="C53" s="5"/>
      <c r="D53" s="5">
        <f>mantenimiento*C8</f>
        <v>800000</v>
      </c>
      <c r="E53" s="5"/>
      <c r="F53" s="5"/>
      <c r="G53" s="5"/>
      <c r="H53" s="5"/>
      <c r="I53" s="5"/>
      <c r="J53" s="5"/>
      <c r="K53" s="5"/>
    </row>
    <row r="54" spans="1:11" ht="15">
      <c r="A54" s="5" t="s">
        <v>35</v>
      </c>
      <c r="B54" s="5"/>
      <c r="C54" s="5"/>
      <c r="D54" s="5">
        <f>combustibles*C8</f>
        <v>1200000</v>
      </c>
      <c r="E54" s="5"/>
      <c r="F54" s="5"/>
      <c r="G54" s="5"/>
      <c r="H54" s="5"/>
      <c r="I54" s="5"/>
      <c r="J54" s="5"/>
      <c r="K54" s="5"/>
    </row>
    <row r="55" spans="1:11" ht="15">
      <c r="A55" s="5" t="s">
        <v>36</v>
      </c>
      <c r="B55" s="5"/>
      <c r="C55" s="5"/>
      <c r="D55" s="5">
        <f>energia*C8</f>
        <v>400000</v>
      </c>
      <c r="E55" s="5"/>
      <c r="F55" s="5"/>
      <c r="G55" s="5"/>
      <c r="H55" s="5"/>
      <c r="I55" s="5"/>
      <c r="J55" s="5"/>
      <c r="K55" s="5"/>
    </row>
    <row r="56" spans="1:11" ht="15">
      <c r="A56" s="5" t="s">
        <v>49</v>
      </c>
      <c r="B56" s="5"/>
      <c r="C56" s="5"/>
      <c r="D56" s="5">
        <f>agua*C8</f>
        <v>480000</v>
      </c>
      <c r="E56" s="5"/>
      <c r="F56" s="5"/>
      <c r="G56" s="5"/>
      <c r="H56" s="5"/>
      <c r="I56" s="5"/>
      <c r="J56" s="5"/>
      <c r="K56" s="5"/>
    </row>
    <row r="57" spans="1:11" ht="15.75" thickBot="1">
      <c r="A57" s="28" t="s">
        <v>50</v>
      </c>
      <c r="B57" s="28"/>
      <c r="C57" s="28"/>
      <c r="D57" s="28">
        <f>D8*1*D31</f>
        <v>16500000</v>
      </c>
      <c r="E57" s="28"/>
      <c r="F57" s="28"/>
      <c r="G57" s="28"/>
      <c r="H57" s="28"/>
      <c r="I57" s="28"/>
      <c r="J57" s="28"/>
      <c r="K57" s="28"/>
    </row>
    <row r="58" spans="1:11" ht="15.75" thickBot="1">
      <c r="A58" s="29" t="s">
        <v>51</v>
      </c>
      <c r="B58" s="30"/>
      <c r="C58" s="30"/>
      <c r="D58" s="30">
        <f>SUM(D53:D57)</f>
        <v>19380000</v>
      </c>
      <c r="E58" s="30"/>
      <c r="F58" s="30"/>
      <c r="G58" s="30"/>
      <c r="H58" s="30"/>
      <c r="I58" s="30"/>
      <c r="J58" s="30"/>
      <c r="K58" s="30"/>
    </row>
    <row r="59" spans="1:11" ht="15.75" thickBo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1" ht="15.75" thickBot="1">
      <c r="A60" s="31" t="s">
        <v>52</v>
      </c>
      <c r="B60" s="32"/>
      <c r="C60" s="32"/>
      <c r="D60" s="32">
        <f>D49+D51+D58</f>
        <v>42180000</v>
      </c>
      <c r="E60" s="32"/>
      <c r="F60" s="32"/>
      <c r="G60" s="32"/>
      <c r="H60" s="32"/>
      <c r="I60" s="32"/>
      <c r="J60" s="32"/>
      <c r="K60" s="32"/>
    </row>
    <row r="61" spans="1:11" ht="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11" ht="15">
      <c r="A62" s="2" t="s">
        <v>14</v>
      </c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1:11" ht="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1:11" ht="15">
      <c r="A64" s="5" t="s">
        <v>53</v>
      </c>
      <c r="B64" s="5"/>
      <c r="C64" s="5"/>
      <c r="D64" s="5">
        <f>distribucion*C4</f>
        <v>4000000</v>
      </c>
      <c r="E64" s="5"/>
      <c r="F64" s="5"/>
      <c r="G64" s="5"/>
      <c r="H64" s="5"/>
      <c r="I64" s="5"/>
      <c r="J64" s="5"/>
      <c r="K64" s="5"/>
    </row>
    <row r="65" spans="1:11" ht="15">
      <c r="A65" s="5" t="s">
        <v>54</v>
      </c>
      <c r="B65" s="5"/>
      <c r="C65" s="5"/>
      <c r="D65" s="5">
        <f>2000000+(100*D4)</f>
        <v>2500000</v>
      </c>
      <c r="E65" s="5"/>
      <c r="F65" s="5"/>
      <c r="G65" s="5"/>
      <c r="H65" s="5"/>
      <c r="I65" s="5"/>
      <c r="J65" s="5"/>
      <c r="K65" s="5"/>
    </row>
    <row r="66" spans="1:11" ht="15">
      <c r="A66" s="5" t="s">
        <v>55</v>
      </c>
      <c r="B66" s="5"/>
      <c r="C66" s="5"/>
      <c r="D66" s="5">
        <v>3000000</v>
      </c>
      <c r="E66" s="5"/>
      <c r="F66" s="5"/>
      <c r="G66" s="5"/>
      <c r="H66" s="5"/>
      <c r="I66" s="5"/>
      <c r="J66" s="5"/>
      <c r="K66" s="5"/>
    </row>
    <row r="67" spans="1:11" ht="15">
      <c r="A67" s="5" t="s">
        <v>56</v>
      </c>
      <c r="B67" s="5"/>
      <c r="C67" s="5"/>
      <c r="D67" s="5">
        <v>1000000</v>
      </c>
      <c r="E67" s="5"/>
      <c r="F67" s="5"/>
      <c r="G67" s="5"/>
      <c r="H67" s="5"/>
      <c r="I67" s="5"/>
      <c r="J67" s="5"/>
      <c r="K67" s="5"/>
    </row>
    <row r="68" spans="1:11" ht="15.75" thickBo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1:11" ht="15.75" thickBot="1">
      <c r="A69" s="31" t="s">
        <v>57</v>
      </c>
      <c r="B69" s="32"/>
      <c r="C69" s="32"/>
      <c r="D69" s="32">
        <f>SUM(D64:D67)</f>
        <v>10500000</v>
      </c>
      <c r="E69" s="32"/>
      <c r="F69" s="32"/>
      <c r="G69" s="32"/>
      <c r="H69" s="32"/>
      <c r="I69" s="32"/>
      <c r="J69" s="32"/>
      <c r="K69" s="32"/>
    </row>
    <row r="70" spans="1:11" ht="15">
      <c r="A70" s="45"/>
      <c r="B70" s="46"/>
      <c r="C70" s="46"/>
      <c r="D70" s="46"/>
      <c r="E70" s="46"/>
      <c r="F70" s="46"/>
      <c r="G70" s="46"/>
      <c r="H70" s="46"/>
      <c r="I70" s="46"/>
      <c r="J70" s="46"/>
      <c r="K70" s="47"/>
    </row>
    <row r="71" spans="1:11" ht="15">
      <c r="A71" s="48" t="s">
        <v>58</v>
      </c>
      <c r="B71" s="49"/>
      <c r="C71" s="49"/>
      <c r="D71" s="49"/>
      <c r="E71" s="49"/>
      <c r="F71" s="49"/>
      <c r="G71" s="49"/>
      <c r="H71" s="49"/>
      <c r="I71" s="49"/>
      <c r="J71" s="49"/>
      <c r="K71" s="50"/>
    </row>
    <row r="72" spans="1:11" ht="15">
      <c r="A72" s="48"/>
      <c r="B72" s="49"/>
      <c r="C72" s="49"/>
      <c r="D72" s="49"/>
      <c r="E72" s="49"/>
      <c r="F72" s="49"/>
      <c r="G72" s="49"/>
      <c r="H72" s="49"/>
      <c r="I72" s="49"/>
      <c r="J72" s="49"/>
      <c r="K72" s="50"/>
    </row>
    <row r="73" spans="1:11" ht="15">
      <c r="A73" s="5" t="s">
        <v>59</v>
      </c>
      <c r="B73" s="5"/>
      <c r="C73" s="5"/>
      <c r="D73" s="5">
        <v>3000000</v>
      </c>
      <c r="E73" s="5"/>
      <c r="F73" s="5"/>
      <c r="G73" s="5"/>
      <c r="H73" s="5"/>
      <c r="I73" s="5"/>
      <c r="J73" s="5"/>
      <c r="K73" s="5"/>
    </row>
    <row r="74" spans="1:11" ht="15">
      <c r="A74" s="5" t="s">
        <v>60</v>
      </c>
      <c r="B74" s="5"/>
      <c r="C74" s="5"/>
      <c r="D74" s="5">
        <v>1000000</v>
      </c>
      <c r="E74" s="5"/>
      <c r="F74" s="5"/>
      <c r="G74" s="5"/>
      <c r="H74" s="5"/>
      <c r="I74" s="5"/>
      <c r="J74" s="5"/>
      <c r="K74" s="5"/>
    </row>
    <row r="75" spans="1:11" ht="15">
      <c r="A75" s="5" t="s">
        <v>88</v>
      </c>
      <c r="B75" s="5"/>
      <c r="C75" s="5"/>
      <c r="D75" s="5">
        <v>2000000</v>
      </c>
      <c r="E75" s="5"/>
      <c r="F75" s="5"/>
      <c r="G75" s="5"/>
      <c r="H75" s="5"/>
      <c r="I75" s="5"/>
      <c r="J75" s="5"/>
      <c r="K75" s="5"/>
    </row>
    <row r="76" spans="1:11" ht="15">
      <c r="A76" s="5" t="s">
        <v>62</v>
      </c>
      <c r="B76" s="5"/>
      <c r="C76" s="5"/>
      <c r="D76" s="5">
        <v>2000000</v>
      </c>
      <c r="E76" s="5"/>
      <c r="F76" s="5"/>
      <c r="G76" s="5"/>
      <c r="H76" s="5"/>
      <c r="I76" s="5"/>
      <c r="J76" s="5"/>
      <c r="K76" s="5"/>
    </row>
    <row r="77" spans="1:11" ht="15">
      <c r="A77" s="48"/>
      <c r="B77" s="49"/>
      <c r="C77" s="49"/>
      <c r="D77" s="49"/>
      <c r="E77" s="49"/>
      <c r="F77" s="49"/>
      <c r="G77" s="49"/>
      <c r="H77" s="49"/>
      <c r="I77" s="49"/>
      <c r="J77" s="49"/>
      <c r="K77" s="50"/>
    </row>
    <row r="78" spans="1:11" ht="15">
      <c r="A78" s="51" t="s">
        <v>63</v>
      </c>
      <c r="B78" s="51"/>
      <c r="C78" s="51"/>
      <c r="D78" s="51">
        <f>SUM(D73:D77)</f>
        <v>8000000</v>
      </c>
      <c r="E78" s="51"/>
      <c r="F78" s="51"/>
      <c r="G78" s="51"/>
      <c r="H78" s="51"/>
      <c r="I78" s="51"/>
      <c r="J78" s="51"/>
      <c r="K78" s="51"/>
    </row>
    <row r="79" spans="1:11" ht="15">
      <c r="A79" s="52" t="s">
        <v>64</v>
      </c>
      <c r="B79" s="52"/>
      <c r="C79" s="52"/>
      <c r="D79" s="52">
        <f>D69+D60+D78</f>
        <v>60680000</v>
      </c>
      <c r="E79" s="52"/>
      <c r="F79" s="52"/>
      <c r="G79" s="52"/>
      <c r="H79" s="52"/>
      <c r="I79" s="52"/>
      <c r="J79" s="52"/>
      <c r="K79" s="52"/>
    </row>
    <row r="81" spans="1:11" ht="15">
      <c r="A81" s="53" t="s">
        <v>65</v>
      </c>
      <c r="B81" s="53"/>
      <c r="C81" s="53"/>
      <c r="D81" s="53">
        <f>D40-D79</f>
        <v>-680000</v>
      </c>
      <c r="E81" s="53"/>
      <c r="F81" s="53"/>
      <c r="G81" s="53"/>
      <c r="H81" s="53"/>
      <c r="I81" s="53"/>
      <c r="J81" s="53"/>
      <c r="K81" s="53"/>
    </row>
    <row r="82" spans="1:11" ht="15">
      <c r="A82" s="53" t="s">
        <v>66</v>
      </c>
      <c r="B82" s="53"/>
      <c r="C82" s="53"/>
      <c r="D82" s="53">
        <f>D81</f>
        <v>-680000</v>
      </c>
      <c r="E82" s="53"/>
      <c r="F82" s="53"/>
      <c r="G82" s="53"/>
      <c r="H82" s="53"/>
      <c r="I82" s="53"/>
      <c r="J82" s="53"/>
      <c r="K82" s="53"/>
    </row>
  </sheetData>
  <sheetProtection/>
  <mergeCells count="4">
    <mergeCell ref="B1:D1"/>
    <mergeCell ref="E1:K1"/>
    <mergeCell ref="A24:K24"/>
    <mergeCell ref="A33:K33"/>
  </mergeCells>
  <printOptions horizontalCentered="1" verticalCentered="1"/>
  <pageMargins left="0.7086614173228347" right="0.7086614173228347" top="0.35433070866141736" bottom="0.35433070866141736" header="0.31496062992125984" footer="0.31496062992125984"/>
  <pageSetup orientation="landscape" paperSize="5" r:id="rId1"/>
  <rowBreaks count="1" manualBreakCount="1">
    <brk id="3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F30" sqref="F30"/>
    </sheetView>
  </sheetViews>
  <sheetFormatPr defaultColWidth="11.421875" defaultRowHeight="15"/>
  <cols>
    <col min="1" max="1" width="19.7109375" style="0" customWidth="1"/>
    <col min="4" max="4" width="15.00390625" style="0" customWidth="1"/>
  </cols>
  <sheetData>
    <row r="1" spans="1:4" ht="15">
      <c r="A1" s="62" t="s">
        <v>69</v>
      </c>
      <c r="B1" s="62"/>
      <c r="C1" s="62"/>
      <c r="D1" s="62"/>
    </row>
    <row r="2" spans="1:4" ht="15">
      <c r="A2" s="63" t="s">
        <v>70</v>
      </c>
      <c r="B2" s="63" t="s">
        <v>71</v>
      </c>
      <c r="C2" s="63" t="s">
        <v>72</v>
      </c>
      <c r="D2" s="63" t="s">
        <v>73</v>
      </c>
    </row>
    <row r="3" spans="1:4" ht="15">
      <c r="A3" s="63" t="s">
        <v>17</v>
      </c>
      <c r="B3" s="63">
        <v>0.6</v>
      </c>
      <c r="C3" s="63" t="s">
        <v>74</v>
      </c>
      <c r="D3" s="64">
        <v>5000</v>
      </c>
    </row>
    <row r="4" spans="1:4" ht="15">
      <c r="A4" s="63" t="s">
        <v>32</v>
      </c>
      <c r="B4" s="63">
        <v>0.25</v>
      </c>
      <c r="C4" s="63" t="s">
        <v>74</v>
      </c>
      <c r="D4" s="64">
        <v>3500</v>
      </c>
    </row>
    <row r="5" spans="1:4" ht="15">
      <c r="A5" s="63" t="s">
        <v>33</v>
      </c>
      <c r="B5" s="63">
        <v>0.15</v>
      </c>
      <c r="C5" s="63" t="s">
        <v>74</v>
      </c>
      <c r="D5" s="64">
        <v>2200</v>
      </c>
    </row>
    <row r="6" spans="1:4" ht="15">
      <c r="A6" s="63" t="s">
        <v>75</v>
      </c>
      <c r="B6" s="64">
        <v>100</v>
      </c>
      <c r="C6" s="63" t="s">
        <v>76</v>
      </c>
      <c r="D6" s="64">
        <v>100</v>
      </c>
    </row>
    <row r="7" spans="1:4" ht="15">
      <c r="A7" s="63" t="s">
        <v>77</v>
      </c>
      <c r="B7" s="63">
        <v>1</v>
      </c>
      <c r="C7" s="63" t="s">
        <v>78</v>
      </c>
      <c r="D7" s="64">
        <v>3000</v>
      </c>
    </row>
    <row r="8" spans="1:4" ht="15">
      <c r="A8" s="63" t="s">
        <v>34</v>
      </c>
      <c r="B8" s="64">
        <v>100</v>
      </c>
      <c r="C8" s="63" t="s">
        <v>76</v>
      </c>
      <c r="D8" s="64">
        <v>100</v>
      </c>
    </row>
    <row r="9" spans="1:4" ht="15">
      <c r="A9" s="63" t="s">
        <v>35</v>
      </c>
      <c r="B9" s="64">
        <v>150</v>
      </c>
      <c r="C9" s="63" t="s">
        <v>76</v>
      </c>
      <c r="D9" s="64">
        <v>150</v>
      </c>
    </row>
    <row r="10" spans="1:4" ht="15">
      <c r="A10" s="63" t="s">
        <v>36</v>
      </c>
      <c r="B10" s="64">
        <v>50</v>
      </c>
      <c r="C10" s="63" t="s">
        <v>76</v>
      </c>
      <c r="D10" s="64">
        <v>50</v>
      </c>
    </row>
    <row r="11" spans="1:4" ht="15">
      <c r="A11" s="63" t="s">
        <v>49</v>
      </c>
      <c r="B11" s="64">
        <v>60</v>
      </c>
      <c r="C11" s="63" t="s">
        <v>76</v>
      </c>
      <c r="D11" s="64">
        <v>60</v>
      </c>
    </row>
    <row r="12" spans="1:4" ht="15">
      <c r="A12" s="63" t="s">
        <v>89</v>
      </c>
      <c r="B12" s="64"/>
      <c r="C12" s="63"/>
      <c r="D12" s="64">
        <v>1000</v>
      </c>
    </row>
    <row r="13" spans="1:4" ht="15">
      <c r="A13" s="63" t="s">
        <v>90</v>
      </c>
      <c r="B13" s="64"/>
      <c r="C13" s="71" t="s">
        <v>91</v>
      </c>
      <c r="D13" s="72"/>
    </row>
    <row r="14" spans="1:4" ht="15">
      <c r="A14" s="65" t="s">
        <v>79</v>
      </c>
      <c r="B14" s="63"/>
      <c r="C14" s="65" t="s">
        <v>76</v>
      </c>
      <c r="D14" s="64">
        <v>15000</v>
      </c>
    </row>
    <row r="15" spans="1:4" ht="15">
      <c r="A15" s="68"/>
      <c r="B15" s="69"/>
      <c r="C15" s="68"/>
      <c r="D15" s="70"/>
    </row>
    <row r="16" spans="1:4" ht="15">
      <c r="A16" s="68"/>
      <c r="B16" s="69"/>
      <c r="C16" s="68"/>
      <c r="D16" s="70"/>
    </row>
    <row r="17" spans="1:4" ht="15">
      <c r="A17" s="68"/>
      <c r="B17" s="69"/>
      <c r="C17" s="68"/>
      <c r="D17" s="70"/>
    </row>
    <row r="19" spans="1:3" ht="15">
      <c r="A19" s="66" t="s">
        <v>80</v>
      </c>
      <c r="B19" s="66"/>
      <c r="C19" s="66"/>
    </row>
    <row r="20" spans="1:3" ht="15">
      <c r="A20" s="67" t="s">
        <v>81</v>
      </c>
      <c r="B20" s="67" t="s">
        <v>82</v>
      </c>
      <c r="C20" s="67" t="s">
        <v>72</v>
      </c>
    </row>
    <row r="21" spans="1:3" ht="15">
      <c r="A21" s="63" t="s">
        <v>83</v>
      </c>
      <c r="B21" s="67">
        <v>30</v>
      </c>
      <c r="C21" s="67" t="s">
        <v>84</v>
      </c>
    </row>
    <row r="22" spans="1:3" ht="15">
      <c r="A22" s="63" t="s">
        <v>85</v>
      </c>
      <c r="B22" s="67">
        <v>15</v>
      </c>
      <c r="C22" s="67" t="s">
        <v>84</v>
      </c>
    </row>
    <row r="23" spans="1:3" ht="15">
      <c r="A23" s="63" t="s">
        <v>87</v>
      </c>
      <c r="B23" s="67">
        <v>15</v>
      </c>
      <c r="C23" s="67" t="s">
        <v>84</v>
      </c>
    </row>
    <row r="24" spans="1:3" ht="15">
      <c r="A24" s="63" t="s">
        <v>86</v>
      </c>
      <c r="B24" s="67">
        <v>30</v>
      </c>
      <c r="C24" s="67" t="s">
        <v>84</v>
      </c>
    </row>
  </sheetData>
  <sheetProtection/>
  <mergeCells count="3">
    <mergeCell ref="A1:D1"/>
    <mergeCell ref="A19:C19"/>
    <mergeCell ref="C13:D13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Batser</dc:creator>
  <cp:keywords/>
  <dc:description/>
  <cp:lastModifiedBy>Batser</cp:lastModifiedBy>
  <cp:lastPrinted>2010-04-13T22:54:25Z</cp:lastPrinted>
  <dcterms:created xsi:type="dcterms:W3CDTF">2009-08-26T20:26:27Z</dcterms:created>
  <dcterms:modified xsi:type="dcterms:W3CDTF">2010-04-15T20:45:34Z</dcterms:modified>
  <cp:category/>
  <cp:version/>
  <cp:contentType/>
  <cp:contentStatus/>
</cp:coreProperties>
</file>